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755"/>
  </bookViews>
  <sheets>
    <sheet name="Matriz_riesgo_gesti_seguridad23" sheetId="6" r:id="rId1"/>
    <sheet name="consolidado riesgo corrupció23 " sheetId="5" r:id="rId2"/>
    <sheet name="riesgos_gestion_eliminados" sheetId="2" state="hidden" r:id="rId3"/>
    <sheet name="riesgo_corrupcion_eliminados" sheetId="1"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1" hidden="1">'consolidado riesgo corrupció23 '!$A$4:$BA$99</definedName>
    <definedName name="_xlnm._FilterDatabase" localSheetId="0" hidden="1">Matriz_riesgo_gesti_seguridad23!$A$5:$FY$473</definedName>
    <definedName name="_xlnm._FilterDatabase" localSheetId="3" hidden="1">riesgo_corrupcion_eliminados!$A$6:$BB$21</definedName>
    <definedName name="_xlnm._FilterDatabase" localSheetId="2" hidden="1">riesgos_gestion_eliminados!$A$9:$AN$27</definedName>
  </definedNames>
  <calcPr calcId="145621"/>
</workbook>
</file>

<file path=xl/calcChain.xml><?xml version="1.0" encoding="utf-8"?>
<calcChain xmlns="http://schemas.openxmlformats.org/spreadsheetml/2006/main">
  <c r="H58" i="2" l="1"/>
  <c r="I58" i="2"/>
  <c r="K58" i="2"/>
  <c r="L58" i="2" s="1"/>
  <c r="AA58" i="2" s="1"/>
  <c r="S58" i="2"/>
  <c r="W58" i="2"/>
  <c r="S59" i="2"/>
  <c r="W59" i="2"/>
  <c r="AA59" i="2"/>
  <c r="S60" i="2"/>
  <c r="AA60" i="2" s="1"/>
  <c r="W60" i="2"/>
  <c r="S61" i="2"/>
  <c r="AA61" i="2" s="1"/>
  <c r="W61" i="2"/>
  <c r="S62" i="2"/>
  <c r="AA62" i="2" s="1"/>
  <c r="W62" i="2"/>
  <c r="S63" i="2"/>
  <c r="AA63" i="2" s="1"/>
  <c r="W63" i="2"/>
  <c r="X58" i="2" l="1"/>
  <c r="Y58" i="2" s="1"/>
  <c r="Z58" i="2" s="1"/>
  <c r="M58" i="2"/>
  <c r="AB58" i="2"/>
  <c r="AC58" i="2" s="1"/>
  <c r="AD58" i="2" s="1"/>
  <c r="AE58" i="2" s="1"/>
  <c r="Z371" i="6" l="1"/>
  <c r="V371" i="6"/>
  <c r="AD371" i="6" s="1"/>
  <c r="Z370" i="6"/>
  <c r="V370" i="6"/>
  <c r="AD370" i="6" s="1"/>
  <c r="V369" i="6"/>
  <c r="V368" i="6"/>
  <c r="V367" i="6"/>
  <c r="V366" i="6"/>
  <c r="N366" i="6"/>
  <c r="O366" i="6" s="1"/>
  <c r="AD366" i="6" s="1"/>
  <c r="J366" i="6"/>
  <c r="L366" i="6" s="1"/>
  <c r="Z366" i="6" s="1"/>
  <c r="Z367" i="6" s="1"/>
  <c r="Z368" i="6" s="1"/>
  <c r="Z365" i="6"/>
  <c r="V365" i="6"/>
  <c r="AD365" i="6" s="1"/>
  <c r="AD364" i="6"/>
  <c r="Z364" i="6"/>
  <c r="V364" i="6"/>
  <c r="Z363" i="6"/>
  <c r="V363" i="6"/>
  <c r="AD363" i="6" s="1"/>
  <c r="Z362" i="6"/>
  <c r="V362" i="6"/>
  <c r="AD362" i="6" s="1"/>
  <c r="AD361" i="6"/>
  <c r="Z361" i="6"/>
  <c r="V361" i="6"/>
  <c r="V360" i="6"/>
  <c r="N360" i="6"/>
  <c r="O360" i="6" s="1"/>
  <c r="AD360" i="6" s="1"/>
  <c r="J360" i="6"/>
  <c r="L360" i="6" s="1"/>
  <c r="Z360" i="6" s="1"/>
  <c r="Z359" i="6"/>
  <c r="V359" i="6"/>
  <c r="AD359" i="6" s="1"/>
  <c r="AD358" i="6"/>
  <c r="Z358" i="6"/>
  <c r="V358" i="6"/>
  <c r="V357" i="6"/>
  <c r="AD357" i="6" s="1"/>
  <c r="V356" i="6"/>
  <c r="AD356" i="6" s="1"/>
  <c r="V355" i="6"/>
  <c r="V354" i="6"/>
  <c r="N354" i="6"/>
  <c r="O354" i="6" s="1"/>
  <c r="AD354" i="6" s="1"/>
  <c r="AD355" i="6" s="1"/>
  <c r="L354" i="6"/>
  <c r="Z354" i="6" s="1"/>
  <c r="Z355" i="6" s="1"/>
  <c r="Z356" i="6" s="1"/>
  <c r="K354" i="6"/>
  <c r="Z353" i="6"/>
  <c r="V353" i="6"/>
  <c r="AD353" i="6" s="1"/>
  <c r="Z352" i="6"/>
  <c r="V352" i="6"/>
  <c r="AD352" i="6" s="1"/>
  <c r="Z351" i="6"/>
  <c r="V351" i="6"/>
  <c r="AD351" i="6" s="1"/>
  <c r="Z350" i="6"/>
  <c r="V350" i="6"/>
  <c r="AD350" i="6" s="1"/>
  <c r="Z349" i="6"/>
  <c r="V349" i="6"/>
  <c r="AD349" i="6" s="1"/>
  <c r="V348" i="6"/>
  <c r="N348" i="6"/>
  <c r="O348" i="6" s="1"/>
  <c r="AD348" i="6" s="1"/>
  <c r="L348" i="6"/>
  <c r="Z348" i="6" s="1"/>
  <c r="K348" i="6"/>
  <c r="AD347" i="6"/>
  <c r="Z347" i="6"/>
  <c r="V347" i="6"/>
  <c r="Z346" i="6"/>
  <c r="V346" i="6"/>
  <c r="AD346" i="6" s="1"/>
  <c r="Z345" i="6"/>
  <c r="V345" i="6"/>
  <c r="AD345" i="6" s="1"/>
  <c r="Z344" i="6"/>
  <c r="V344" i="6"/>
  <c r="AD344" i="6" s="1"/>
  <c r="V343" i="6"/>
  <c r="V342" i="6"/>
  <c r="N342" i="6"/>
  <c r="O342" i="6" s="1"/>
  <c r="AD342" i="6" s="1"/>
  <c r="J342" i="6"/>
  <c r="K342" i="6" s="1"/>
  <c r="P342" i="6" s="1"/>
  <c r="P348" i="6" l="1"/>
  <c r="L342" i="6"/>
  <c r="Z342" i="6" s="1"/>
  <c r="Z343" i="6" s="1"/>
  <c r="AA348" i="6"/>
  <c r="AB348" i="6" s="1"/>
  <c r="AC348" i="6" s="1"/>
  <c r="P354" i="6"/>
  <c r="AD367" i="6"/>
  <c r="AE348" i="6"/>
  <c r="AF348" i="6" s="1"/>
  <c r="AG348" i="6" s="1"/>
  <c r="AH348" i="6" s="1"/>
  <c r="Z357" i="6"/>
  <c r="AA354" i="6" s="1"/>
  <c r="AB354" i="6" s="1"/>
  <c r="AC354" i="6" s="1"/>
  <c r="AH354" i="6" s="1"/>
  <c r="AE354" i="6"/>
  <c r="AF354" i="6" s="1"/>
  <c r="AG354" i="6" s="1"/>
  <c r="AA360" i="6"/>
  <c r="AB360" i="6" s="1"/>
  <c r="AC360" i="6" s="1"/>
  <c r="Z369" i="6"/>
  <c r="AA366" i="6" s="1"/>
  <c r="AB366" i="6" s="1"/>
  <c r="AC366" i="6" s="1"/>
  <c r="AD343" i="6"/>
  <c r="AE342" i="6" s="1"/>
  <c r="AF342" i="6" s="1"/>
  <c r="AG342" i="6" s="1"/>
  <c r="AA342" i="6"/>
  <c r="AB342" i="6" s="1"/>
  <c r="AC342" i="6" s="1"/>
  <c r="AD368" i="6"/>
  <c r="AD369" i="6" s="1"/>
  <c r="AE360" i="6"/>
  <c r="AF360" i="6" s="1"/>
  <c r="AG360" i="6" s="1"/>
  <c r="K360" i="6"/>
  <c r="P360" i="6" s="1"/>
  <c r="K366" i="6"/>
  <c r="P366" i="6" s="1"/>
  <c r="AE366" i="6" l="1"/>
  <c r="AF366" i="6" s="1"/>
  <c r="AG366" i="6" s="1"/>
  <c r="AH366" i="6" s="1"/>
  <c r="AH360" i="6"/>
  <c r="AH342" i="6"/>
  <c r="AA69" i="5" l="1"/>
  <c r="Y69" i="5"/>
  <c r="W69" i="5"/>
  <c r="U69" i="5"/>
  <c r="S69" i="5"/>
  <c r="Q69" i="5"/>
  <c r="O69" i="5"/>
  <c r="AB69" i="5" s="1"/>
  <c r="AC69" i="5" s="1"/>
  <c r="AE69" i="5" s="1"/>
  <c r="AF69" i="5" s="1"/>
  <c r="AA68" i="5"/>
  <c r="Y68" i="5"/>
  <c r="W68" i="5"/>
  <c r="U68" i="5"/>
  <c r="S68" i="5"/>
  <c r="Q68" i="5"/>
  <c r="O68" i="5"/>
  <c r="AA67" i="5"/>
  <c r="Y67" i="5"/>
  <c r="W67" i="5"/>
  <c r="U67" i="5"/>
  <c r="S67" i="5"/>
  <c r="Q67" i="5"/>
  <c r="O67" i="5"/>
  <c r="AA66" i="5"/>
  <c r="Y66" i="5"/>
  <c r="W66" i="5"/>
  <c r="U66" i="5"/>
  <c r="S66" i="5"/>
  <c r="Q66" i="5"/>
  <c r="AB66" i="5" s="1"/>
  <c r="AC66" i="5" s="1"/>
  <c r="AE66" i="5" s="1"/>
  <c r="AF66" i="5" s="1"/>
  <c r="O66" i="5"/>
  <c r="AA65" i="5"/>
  <c r="Y65" i="5"/>
  <c r="W65" i="5"/>
  <c r="U65" i="5"/>
  <c r="S65" i="5"/>
  <c r="Q65" i="5"/>
  <c r="O65" i="5"/>
  <c r="I65" i="5"/>
  <c r="J65" i="5" s="1"/>
  <c r="G65" i="5"/>
  <c r="F65" i="5"/>
  <c r="Z341" i="6"/>
  <c r="V341" i="6"/>
  <c r="AD341" i="6" s="1"/>
  <c r="Z340" i="6"/>
  <c r="V340" i="6"/>
  <c r="AD340" i="6" s="1"/>
  <c r="Z339" i="6"/>
  <c r="V339" i="6"/>
  <c r="AD339" i="6" s="1"/>
  <c r="Z338" i="6"/>
  <c r="V338" i="6"/>
  <c r="AD338" i="6" s="1"/>
  <c r="V337" i="6"/>
  <c r="V336" i="6"/>
  <c r="N336" i="6"/>
  <c r="O336" i="6" s="1"/>
  <c r="AD336" i="6" s="1"/>
  <c r="L336" i="6"/>
  <c r="Z336" i="6" s="1"/>
  <c r="K336" i="6"/>
  <c r="Z335" i="6"/>
  <c r="V335" i="6"/>
  <c r="AD335" i="6" s="1"/>
  <c r="Z334" i="6"/>
  <c r="V334" i="6"/>
  <c r="AD334" i="6" s="1"/>
  <c r="Z333" i="6"/>
  <c r="V333" i="6"/>
  <c r="AD333" i="6" s="1"/>
  <c r="AD332" i="6"/>
  <c r="Z332" i="6"/>
  <c r="V331" i="6"/>
  <c r="V330" i="6"/>
  <c r="N330" i="6"/>
  <c r="O330" i="6" s="1"/>
  <c r="AD330" i="6" s="1"/>
  <c r="L330" i="6"/>
  <c r="K330" i="6"/>
  <c r="Z329" i="6"/>
  <c r="V329" i="6"/>
  <c r="AD329" i="6" s="1"/>
  <c r="Z328" i="6"/>
  <c r="V328" i="6"/>
  <c r="AD328" i="6" s="1"/>
  <c r="AD327" i="6"/>
  <c r="Z327" i="6"/>
  <c r="V327" i="6"/>
  <c r="AD326" i="6"/>
  <c r="Z326" i="6"/>
  <c r="AD325" i="6"/>
  <c r="Z325" i="6"/>
  <c r="V324" i="6"/>
  <c r="N324" i="6"/>
  <c r="O324" i="6" s="1"/>
  <c r="L324" i="6"/>
  <c r="Z324" i="6" s="1"/>
  <c r="K324" i="6"/>
  <c r="Z323" i="6"/>
  <c r="V323" i="6"/>
  <c r="AD323" i="6" s="1"/>
  <c r="Z322" i="6"/>
  <c r="V322" i="6"/>
  <c r="AD322" i="6" s="1"/>
  <c r="Z321" i="6"/>
  <c r="V321" i="6"/>
  <c r="AD321" i="6" s="1"/>
  <c r="AD320" i="6"/>
  <c r="Z320" i="6"/>
  <c r="AD319" i="6"/>
  <c r="Z319" i="6"/>
  <c r="V318" i="6"/>
  <c r="N318" i="6"/>
  <c r="O318" i="6" s="1"/>
  <c r="AD318" i="6" s="1"/>
  <c r="L318" i="6"/>
  <c r="K318" i="6"/>
  <c r="Z317" i="6"/>
  <c r="V317" i="6"/>
  <c r="AD317" i="6" s="1"/>
  <c r="Z316" i="6"/>
  <c r="V316" i="6"/>
  <c r="AD316" i="6" s="1"/>
  <c r="AD315" i="6"/>
  <c r="Z315" i="6"/>
  <c r="V315" i="6"/>
  <c r="Z314" i="6"/>
  <c r="V314" i="6"/>
  <c r="AD314" i="6" s="1"/>
  <c r="V313" i="6"/>
  <c r="V312" i="6"/>
  <c r="N312" i="6"/>
  <c r="O312" i="6" s="1"/>
  <c r="AD312" i="6" s="1"/>
  <c r="L312" i="6"/>
  <c r="Z312" i="6" s="1"/>
  <c r="Z313" i="6" s="1"/>
  <c r="K312" i="6"/>
  <c r="Z311" i="6"/>
  <c r="V311" i="6"/>
  <c r="AD311" i="6" s="1"/>
  <c r="Z310" i="6"/>
  <c r="V310" i="6"/>
  <c r="AD310" i="6" s="1"/>
  <c r="Z309" i="6"/>
  <c r="V309" i="6"/>
  <c r="AD309" i="6" s="1"/>
  <c r="Z308" i="6"/>
  <c r="V308" i="6"/>
  <c r="AD308" i="6" s="1"/>
  <c r="V307" i="6"/>
  <c r="AD307" i="6" s="1"/>
  <c r="V306" i="6"/>
  <c r="N306" i="6"/>
  <c r="O306" i="6" s="1"/>
  <c r="AD306" i="6" s="1"/>
  <c r="L306" i="6"/>
  <c r="K306" i="6"/>
  <c r="Z305" i="6"/>
  <c r="V305" i="6"/>
  <c r="AD305" i="6" s="1"/>
  <c r="Z304" i="6"/>
  <c r="V304" i="6"/>
  <c r="AD304" i="6" s="1"/>
  <c r="Z303" i="6"/>
  <c r="V303" i="6"/>
  <c r="AD303" i="6" s="1"/>
  <c r="AD302" i="6"/>
  <c r="Z302" i="6"/>
  <c r="V302" i="6"/>
  <c r="V301" i="6"/>
  <c r="V300" i="6"/>
  <c r="N300" i="6"/>
  <c r="O300" i="6" s="1"/>
  <c r="AD300" i="6" s="1"/>
  <c r="L300" i="6"/>
  <c r="K300" i="6"/>
  <c r="Z299" i="6"/>
  <c r="V299" i="6"/>
  <c r="AD299" i="6" s="1"/>
  <c r="Z298" i="6"/>
  <c r="V298" i="6"/>
  <c r="AD298" i="6" s="1"/>
  <c r="AD297" i="6"/>
  <c r="Z297" i="6"/>
  <c r="V297" i="6"/>
  <c r="AD296" i="6"/>
  <c r="Z296" i="6"/>
  <c r="V296" i="6"/>
  <c r="V295" i="6"/>
  <c r="V294" i="6"/>
  <c r="N294" i="6"/>
  <c r="O294" i="6" s="1"/>
  <c r="AD294" i="6" s="1"/>
  <c r="L294" i="6"/>
  <c r="K294" i="6"/>
  <c r="Z293" i="6"/>
  <c r="V293" i="6"/>
  <c r="AD293" i="6" s="1"/>
  <c r="Z292" i="6"/>
  <c r="V292" i="6"/>
  <c r="AD292" i="6" s="1"/>
  <c r="AD291" i="6"/>
  <c r="Z291" i="6"/>
  <c r="V291" i="6"/>
  <c r="Z290" i="6"/>
  <c r="V290" i="6"/>
  <c r="AD290" i="6" s="1"/>
  <c r="V289" i="6"/>
  <c r="V288" i="6"/>
  <c r="N288" i="6"/>
  <c r="O288" i="6" s="1"/>
  <c r="AD288" i="6" s="1"/>
  <c r="L288" i="6"/>
  <c r="K288" i="6"/>
  <c r="AA324" i="6" l="1"/>
  <c r="AC324" i="6" s="1"/>
  <c r="AD337" i="6"/>
  <c r="P306" i="6"/>
  <c r="AA312" i="6"/>
  <c r="AC312" i="6" s="1"/>
  <c r="AE318" i="6"/>
  <c r="AG318" i="6" s="1"/>
  <c r="Z300" i="6"/>
  <c r="Z301" i="6" s="1"/>
  <c r="P294" i="6"/>
  <c r="AD313" i="6"/>
  <c r="AE312" i="6" s="1"/>
  <c r="AG312" i="6" s="1"/>
  <c r="AH312" i="6" s="1"/>
  <c r="Z318" i="6"/>
  <c r="Z330" i="6"/>
  <c r="Z331" i="6" s="1"/>
  <c r="AB65" i="5"/>
  <c r="AC65" i="5" s="1"/>
  <c r="AE65" i="5" s="1"/>
  <c r="AF65" i="5" s="1"/>
  <c r="AH65" i="5" s="1"/>
  <c r="AI65" i="5" s="1"/>
  <c r="K65" i="5"/>
  <c r="AB67" i="5"/>
  <c r="AC67" i="5" s="1"/>
  <c r="AE67" i="5" s="1"/>
  <c r="AF67" i="5" s="1"/>
  <c r="AB68" i="5"/>
  <c r="AC68" i="5" s="1"/>
  <c r="AE68" i="5" s="1"/>
  <c r="AF68" i="5" s="1"/>
  <c r="AD295" i="6"/>
  <c r="AE306" i="6"/>
  <c r="AG306" i="6" s="1"/>
  <c r="AD331" i="6"/>
  <c r="AD289" i="6"/>
  <c r="AA318" i="6"/>
  <c r="AC318" i="6" s="1"/>
  <c r="AH318" i="6" s="1"/>
  <c r="P324" i="6"/>
  <c r="AD324" i="6"/>
  <c r="P288" i="6"/>
  <c r="AE294" i="6"/>
  <c r="AG294" i="6" s="1"/>
  <c r="AE330" i="6"/>
  <c r="AG330" i="6" s="1"/>
  <c r="AE336" i="6"/>
  <c r="AG336" i="6" s="1"/>
  <c r="AE288" i="6"/>
  <c r="AG288" i="6" s="1"/>
  <c r="AD301" i="6"/>
  <c r="AE300" i="6" s="1"/>
  <c r="AG300" i="6" s="1"/>
  <c r="AE324" i="6"/>
  <c r="AG324" i="6" s="1"/>
  <c r="AH324" i="6" s="1"/>
  <c r="Z337" i="6"/>
  <c r="AA336" i="6" s="1"/>
  <c r="AC336" i="6" s="1"/>
  <c r="AH336" i="6" s="1"/>
  <c r="Z306" i="6"/>
  <c r="Z307" i="6" s="1"/>
  <c r="P336" i="6"/>
  <c r="Z288" i="6"/>
  <c r="Z289" i="6" s="1"/>
  <c r="Z294" i="6"/>
  <c r="Z295" i="6" s="1"/>
  <c r="P300" i="6"/>
  <c r="P312" i="6"/>
  <c r="P318" i="6"/>
  <c r="P330" i="6"/>
  <c r="AA330" i="6" l="1"/>
  <c r="AC330" i="6" s="1"/>
  <c r="AH330" i="6" s="1"/>
  <c r="AA300" i="6"/>
  <c r="AC300" i="6" s="1"/>
  <c r="AH300" i="6" s="1"/>
  <c r="AK65" i="5"/>
  <c r="AL65" i="5" s="1"/>
  <c r="AM65" i="5" s="1"/>
  <c r="AO65" i="5"/>
  <c r="AP65" i="5" s="1"/>
  <c r="AQ65" i="5" s="1"/>
  <c r="AR65" i="5" s="1"/>
  <c r="AA294" i="6"/>
  <c r="AC294" i="6" s="1"/>
  <c r="AH294" i="6" s="1"/>
  <c r="AA306" i="6"/>
  <c r="AC306" i="6" s="1"/>
  <c r="AH306" i="6" s="1"/>
  <c r="AA288" i="6"/>
  <c r="AC288" i="6" s="1"/>
  <c r="AH288" i="6" s="1"/>
  <c r="Z479" i="6" l="1"/>
  <c r="V479" i="6"/>
  <c r="AD479" i="6" s="1"/>
  <c r="Z478" i="6"/>
  <c r="V478" i="6"/>
  <c r="AD478" i="6" s="1"/>
  <c r="AD477" i="6"/>
  <c r="Z477" i="6"/>
  <c r="V477" i="6"/>
  <c r="AD476" i="6"/>
  <c r="Z476" i="6"/>
  <c r="V476" i="6"/>
  <c r="AD475" i="6"/>
  <c r="Z475" i="6"/>
  <c r="V475" i="6"/>
  <c r="AG474" i="6"/>
  <c r="AC474" i="6"/>
  <c r="AH474" i="6" s="1"/>
  <c r="V474" i="6"/>
  <c r="N474" i="6"/>
  <c r="O474" i="6" s="1"/>
  <c r="AD474" i="6" s="1"/>
  <c r="L474" i="6"/>
  <c r="K474" i="6"/>
  <c r="P474" i="6" s="1"/>
  <c r="Z473" i="6"/>
  <c r="V473" i="6"/>
  <c r="AD473" i="6" s="1"/>
  <c r="Z472" i="6"/>
  <c r="V472" i="6"/>
  <c r="AD472" i="6" s="1"/>
  <c r="AD471" i="6"/>
  <c r="Z471" i="6"/>
  <c r="AD470" i="6"/>
  <c r="V470" i="6"/>
  <c r="AD469" i="6"/>
  <c r="V469" i="6"/>
  <c r="V468" i="6"/>
  <c r="Z468" i="6" s="1"/>
  <c r="Z469" i="6" s="1"/>
  <c r="Z470" i="6" s="1"/>
  <c r="AA468" i="6" s="1"/>
  <c r="AB468" i="6" s="1"/>
  <c r="AC468" i="6" s="1"/>
  <c r="N468" i="6"/>
  <c r="O468" i="6" s="1"/>
  <c r="AD468" i="6" s="1"/>
  <c r="L468" i="6"/>
  <c r="K468" i="6"/>
  <c r="Z443" i="6"/>
  <c r="V443" i="6"/>
  <c r="AD443" i="6" s="1"/>
  <c r="Z442" i="6"/>
  <c r="V442" i="6"/>
  <c r="AD442" i="6" s="1"/>
  <c r="AD441" i="6"/>
  <c r="V441" i="6"/>
  <c r="AD440" i="6"/>
  <c r="V440" i="6"/>
  <c r="AD439" i="6"/>
  <c r="V439" i="6"/>
  <c r="V438" i="6"/>
  <c r="N438" i="6"/>
  <c r="O438" i="6" s="1"/>
  <c r="AD438" i="6" s="1"/>
  <c r="L438" i="6"/>
  <c r="Z438" i="6" s="1"/>
  <c r="Z439" i="6" s="1"/>
  <c r="Z440" i="6" s="1"/>
  <c r="K438" i="6"/>
  <c r="Z287" i="6"/>
  <c r="V287" i="6"/>
  <c r="AD287" i="6" s="1"/>
  <c r="Z286" i="6"/>
  <c r="V286" i="6"/>
  <c r="AD286" i="6" s="1"/>
  <c r="Z285" i="6"/>
  <c r="V285" i="6"/>
  <c r="AD285" i="6" s="1"/>
  <c r="AD284" i="6"/>
  <c r="Z284" i="6"/>
  <c r="V284" i="6"/>
  <c r="AD283" i="6"/>
  <c r="Z283" i="6"/>
  <c r="V283" i="6"/>
  <c r="V282" i="6"/>
  <c r="N282" i="6"/>
  <c r="O282" i="6" s="1"/>
  <c r="AD282" i="6" s="1"/>
  <c r="L282" i="6"/>
  <c r="Z282" i="6" s="1"/>
  <c r="K282" i="6"/>
  <c r="Z281" i="6"/>
  <c r="V281" i="6"/>
  <c r="AD281" i="6" s="1"/>
  <c r="Z280" i="6"/>
  <c r="V280" i="6"/>
  <c r="AD280" i="6" s="1"/>
  <c r="AD279" i="6"/>
  <c r="Z279" i="6"/>
  <c r="V279" i="6"/>
  <c r="Z278" i="6"/>
  <c r="V278" i="6"/>
  <c r="AD278" i="6" s="1"/>
  <c r="Z277" i="6"/>
  <c r="V277" i="6"/>
  <c r="AD277" i="6" s="1"/>
  <c r="V276" i="6"/>
  <c r="N276" i="6"/>
  <c r="O276" i="6" s="1"/>
  <c r="AD276" i="6" s="1"/>
  <c r="L276" i="6"/>
  <c r="Z276" i="6" s="1"/>
  <c r="K276" i="6"/>
  <c r="AD275" i="6"/>
  <c r="Z275" i="6"/>
  <c r="V275" i="6"/>
  <c r="Z274" i="6"/>
  <c r="V274" i="6"/>
  <c r="AD274" i="6" s="1"/>
  <c r="Z273" i="6"/>
  <c r="V273" i="6"/>
  <c r="AD273" i="6" s="1"/>
  <c r="Z272" i="6"/>
  <c r="V272" i="6"/>
  <c r="AD272" i="6" s="1"/>
  <c r="V271" i="6"/>
  <c r="V270" i="6"/>
  <c r="N270" i="6"/>
  <c r="O270" i="6" s="1"/>
  <c r="AD270" i="6" s="1"/>
  <c r="L270" i="6"/>
  <c r="Z271" i="6" s="1"/>
  <c r="K270" i="6"/>
  <c r="Z467" i="6"/>
  <c r="V467" i="6"/>
  <c r="AD467" i="6" s="1"/>
  <c r="Z466" i="6"/>
  <c r="V466" i="6"/>
  <c r="AD466" i="6" s="1"/>
  <c r="Z465" i="6"/>
  <c r="V465" i="6"/>
  <c r="AD465" i="6" s="1"/>
  <c r="AD464" i="6"/>
  <c r="Z464" i="6"/>
  <c r="V464" i="6"/>
  <c r="Z463" i="6"/>
  <c r="V463" i="6"/>
  <c r="AD463" i="6" s="1"/>
  <c r="V462" i="6"/>
  <c r="N462" i="6"/>
  <c r="O462" i="6" s="1"/>
  <c r="AD462" i="6" s="1"/>
  <c r="L462" i="6"/>
  <c r="Z462" i="6" s="1"/>
  <c r="K462" i="6"/>
  <c r="P462" i="6" l="1"/>
  <c r="P270" i="6"/>
  <c r="P276" i="6"/>
  <c r="P282" i="6"/>
  <c r="P468" i="6"/>
  <c r="Z474" i="6"/>
  <c r="AA474" i="6" s="1"/>
  <c r="AA462" i="6"/>
  <c r="AB462" i="6" s="1"/>
  <c r="AC462" i="6" s="1"/>
  <c r="AA276" i="6"/>
  <c r="AB276" i="6" s="1"/>
  <c r="AC276" i="6" s="1"/>
  <c r="AA282" i="6"/>
  <c r="AB282" i="6" s="1"/>
  <c r="AC282" i="6" s="1"/>
  <c r="P438" i="6"/>
  <c r="AE474" i="6"/>
  <c r="AE468" i="6"/>
  <c r="AF468" i="6" s="1"/>
  <c r="AG468" i="6" s="1"/>
  <c r="AH468" i="6" s="1"/>
  <c r="AE438" i="6"/>
  <c r="AF438" i="6" s="1"/>
  <c r="AG438" i="6" s="1"/>
  <c r="Z441" i="6"/>
  <c r="AA438" i="6" s="1"/>
  <c r="AB438" i="6" s="1"/>
  <c r="AC438" i="6" s="1"/>
  <c r="AH438" i="6" s="1"/>
  <c r="AD271" i="6"/>
  <c r="AE270" i="6" s="1"/>
  <c r="AF270" i="6" s="1"/>
  <c r="AG270" i="6" s="1"/>
  <c r="AE276" i="6"/>
  <c r="AF276" i="6" s="1"/>
  <c r="AG276" i="6" s="1"/>
  <c r="AH276" i="6" s="1"/>
  <c r="AE282" i="6"/>
  <c r="AF282" i="6" s="1"/>
  <c r="AG282" i="6" s="1"/>
  <c r="AH282" i="6" s="1"/>
  <c r="Z270" i="6"/>
  <c r="AA270" i="6" s="1"/>
  <c r="AB270" i="6" s="1"/>
  <c r="AC270" i="6" s="1"/>
  <c r="AE462" i="6"/>
  <c r="AF462" i="6" s="1"/>
  <c r="AG462" i="6" s="1"/>
  <c r="AH462" i="6" s="1"/>
  <c r="AH270" i="6" l="1"/>
  <c r="AA49" i="5" l="1"/>
  <c r="Y49" i="5"/>
  <c r="W49" i="5"/>
  <c r="U49" i="5"/>
  <c r="S49" i="5"/>
  <c r="Q49" i="5"/>
  <c r="O49" i="5"/>
  <c r="AA48" i="5"/>
  <c r="Y48" i="5"/>
  <c r="W48" i="5"/>
  <c r="U48" i="5"/>
  <c r="S48" i="5"/>
  <c r="Q48" i="5"/>
  <c r="O48" i="5"/>
  <c r="AA47" i="5"/>
  <c r="Y47" i="5"/>
  <c r="W47" i="5"/>
  <c r="U47" i="5"/>
  <c r="S47" i="5"/>
  <c r="Q47" i="5"/>
  <c r="O47" i="5"/>
  <c r="AA46" i="5"/>
  <c r="Y46" i="5"/>
  <c r="W46" i="5"/>
  <c r="U46" i="5"/>
  <c r="S46" i="5"/>
  <c r="Q46" i="5"/>
  <c r="O46" i="5"/>
  <c r="AA45" i="5"/>
  <c r="Y45" i="5"/>
  <c r="W45" i="5"/>
  <c r="U45" i="5"/>
  <c r="S45" i="5"/>
  <c r="Q45" i="5"/>
  <c r="O45" i="5"/>
  <c r="I45" i="5"/>
  <c r="J45" i="5" s="1"/>
  <c r="G45" i="5"/>
  <c r="F45" i="5"/>
  <c r="AA44" i="5"/>
  <c r="Y44" i="5"/>
  <c r="W44" i="5"/>
  <c r="U44" i="5"/>
  <c r="S44" i="5"/>
  <c r="Q44" i="5"/>
  <c r="O44" i="5"/>
  <c r="AA43" i="5"/>
  <c r="Y43" i="5"/>
  <c r="W43" i="5"/>
  <c r="U43" i="5"/>
  <c r="S43" i="5"/>
  <c r="Q43" i="5"/>
  <c r="O43" i="5"/>
  <c r="AA42" i="5"/>
  <c r="Y42" i="5"/>
  <c r="W42" i="5"/>
  <c r="U42" i="5"/>
  <c r="S42" i="5"/>
  <c r="Q42" i="5"/>
  <c r="O42" i="5"/>
  <c r="AA41" i="5"/>
  <c r="Y41" i="5"/>
  <c r="W41" i="5"/>
  <c r="U41" i="5"/>
  <c r="S41" i="5"/>
  <c r="Q41" i="5"/>
  <c r="O41" i="5"/>
  <c r="AA40" i="5"/>
  <c r="Y40" i="5"/>
  <c r="W40" i="5"/>
  <c r="U40" i="5"/>
  <c r="S40" i="5"/>
  <c r="Q40" i="5"/>
  <c r="O40" i="5"/>
  <c r="I40" i="5"/>
  <c r="J40" i="5" s="1"/>
  <c r="G40" i="5"/>
  <c r="F40" i="5"/>
  <c r="Z221" i="6"/>
  <c r="V221" i="6"/>
  <c r="AD221" i="6" s="1"/>
  <c r="Z220" i="6"/>
  <c r="V220" i="6"/>
  <c r="AD220" i="6" s="1"/>
  <c r="Z219" i="6"/>
  <c r="V219" i="6"/>
  <c r="AD219" i="6" s="1"/>
  <c r="Z218" i="6"/>
  <c r="V218" i="6"/>
  <c r="AD218" i="6" s="1"/>
  <c r="V217" i="6"/>
  <c r="V216" i="6"/>
  <c r="N216" i="6"/>
  <c r="O216" i="6" s="1"/>
  <c r="AD216" i="6" s="1"/>
  <c r="L216" i="6"/>
  <c r="K216" i="6"/>
  <c r="Z215" i="6"/>
  <c r="V215" i="6"/>
  <c r="AD215" i="6" s="1"/>
  <c r="Z214" i="6"/>
  <c r="V214" i="6"/>
  <c r="AD214" i="6" s="1"/>
  <c r="Z213" i="6"/>
  <c r="V213" i="6"/>
  <c r="AD213" i="6" s="1"/>
  <c r="Z212" i="6"/>
  <c r="V212" i="6"/>
  <c r="AD212" i="6" s="1"/>
  <c r="V211" i="6"/>
  <c r="V210" i="6"/>
  <c r="N210" i="6"/>
  <c r="O210" i="6" s="1"/>
  <c r="L210" i="6"/>
  <c r="K210" i="6"/>
  <c r="AD210" i="6" l="1"/>
  <c r="AD217" i="6"/>
  <c r="Z216" i="6"/>
  <c r="Z217" i="6" s="1"/>
  <c r="AA216" i="6" s="1"/>
  <c r="AC216" i="6" s="1"/>
  <c r="AH216" i="6" s="1"/>
  <c r="AB45" i="5"/>
  <c r="AC45" i="5" s="1"/>
  <c r="AE45" i="5" s="1"/>
  <c r="AF45" i="5" s="1"/>
  <c r="AB46" i="5"/>
  <c r="AC46" i="5" s="1"/>
  <c r="AE46" i="5" s="1"/>
  <c r="AF46" i="5" s="1"/>
  <c r="AB47" i="5"/>
  <c r="AC47" i="5" s="1"/>
  <c r="AE47" i="5" s="1"/>
  <c r="AF47" i="5" s="1"/>
  <c r="AB49" i="5"/>
  <c r="AC49" i="5" s="1"/>
  <c r="AE49" i="5" s="1"/>
  <c r="AF49" i="5" s="1"/>
  <c r="AB41" i="5"/>
  <c r="AC41" i="5" s="1"/>
  <c r="AE41" i="5" s="1"/>
  <c r="AF41" i="5" s="1"/>
  <c r="AB48" i="5"/>
  <c r="AC48" i="5" s="1"/>
  <c r="AE48" i="5" s="1"/>
  <c r="AF48" i="5" s="1"/>
  <c r="K40" i="5"/>
  <c r="AB40" i="5"/>
  <c r="AC40" i="5" s="1"/>
  <c r="AE40" i="5" s="1"/>
  <c r="AF40" i="5" s="1"/>
  <c r="AB42" i="5"/>
  <c r="AC42" i="5" s="1"/>
  <c r="AE42" i="5" s="1"/>
  <c r="AF42" i="5" s="1"/>
  <c r="AB43" i="5"/>
  <c r="AC43" i="5" s="1"/>
  <c r="AE43" i="5" s="1"/>
  <c r="AF43" i="5" s="1"/>
  <c r="AB44" i="5"/>
  <c r="AC44" i="5" s="1"/>
  <c r="AE44" i="5" s="1"/>
  <c r="AF44" i="5" s="1"/>
  <c r="AH45" i="5"/>
  <c r="AI45" i="5" s="1"/>
  <c r="K45" i="5"/>
  <c r="P210" i="6"/>
  <c r="AE216" i="6"/>
  <c r="AG216" i="6" s="1"/>
  <c r="AD211" i="6"/>
  <c r="AE210" i="6" s="1"/>
  <c r="AG210" i="6" s="1"/>
  <c r="Z210" i="6"/>
  <c r="Z211" i="6" s="1"/>
  <c r="P216" i="6"/>
  <c r="AH40" i="5" l="1"/>
  <c r="AI40" i="5" s="1"/>
  <c r="AK45" i="5"/>
  <c r="AL45" i="5" s="1"/>
  <c r="AM45" i="5" s="1"/>
  <c r="AO45" i="5"/>
  <c r="AP45" i="5" s="1"/>
  <c r="AQ45" i="5" s="1"/>
  <c r="AR45" i="5" s="1"/>
  <c r="AA210" i="6"/>
  <c r="AC210" i="6" s="1"/>
  <c r="AH210" i="6" s="1"/>
  <c r="AO40" i="5" l="1"/>
  <c r="AP40" i="5" s="1"/>
  <c r="AQ40" i="5" s="1"/>
  <c r="AK40" i="5"/>
  <c r="AL40" i="5" s="1"/>
  <c r="AM40" i="5" s="1"/>
  <c r="AR40" i="5" l="1"/>
  <c r="Z197" i="6" l="1"/>
  <c r="V197" i="6"/>
  <c r="AD197" i="6" s="1"/>
  <c r="Z196" i="6"/>
  <c r="V196" i="6"/>
  <c r="AD196" i="6" s="1"/>
  <c r="Z195" i="6"/>
  <c r="V195" i="6"/>
  <c r="AD195" i="6" s="1"/>
  <c r="Z194" i="6"/>
  <c r="V194" i="6"/>
  <c r="AD194" i="6" s="1"/>
  <c r="V193" i="6"/>
  <c r="V192" i="6"/>
  <c r="N192" i="6"/>
  <c r="O192" i="6" s="1"/>
  <c r="AD192" i="6" s="1"/>
  <c r="L192" i="6"/>
  <c r="K192" i="6"/>
  <c r="Z191" i="6"/>
  <c r="V191" i="6"/>
  <c r="AD191" i="6" s="1"/>
  <c r="Z190" i="6"/>
  <c r="V190" i="6"/>
  <c r="AD190" i="6" s="1"/>
  <c r="Z189" i="6"/>
  <c r="V189" i="6"/>
  <c r="AD189" i="6" s="1"/>
  <c r="Z188" i="6"/>
  <c r="V188" i="6"/>
  <c r="AD188" i="6" s="1"/>
  <c r="V187" i="6"/>
  <c r="V186" i="6"/>
  <c r="N186" i="6"/>
  <c r="O186" i="6" s="1"/>
  <c r="AD186" i="6" s="1"/>
  <c r="J186" i="6"/>
  <c r="K186" i="6" s="1"/>
  <c r="P186" i="6" s="1"/>
  <c r="Z185" i="6"/>
  <c r="V185" i="6"/>
  <c r="AD185" i="6" s="1"/>
  <c r="Z184" i="6"/>
  <c r="V184" i="6"/>
  <c r="AD184" i="6" s="1"/>
  <c r="Z183" i="6"/>
  <c r="V183" i="6"/>
  <c r="AD183" i="6" s="1"/>
  <c r="V182" i="6"/>
  <c r="V181" i="6"/>
  <c r="V180" i="6"/>
  <c r="N180" i="6"/>
  <c r="O180" i="6" s="1"/>
  <c r="AD180" i="6" s="1"/>
  <c r="L180" i="6"/>
  <c r="K180" i="6"/>
  <c r="Z192" i="6" l="1"/>
  <c r="L186" i="6"/>
  <c r="Z187" i="6" s="1"/>
  <c r="AD187" i="6"/>
  <c r="AE186" i="6" s="1"/>
  <c r="AF186" i="6" s="1"/>
  <c r="AG186" i="6" s="1"/>
  <c r="P192" i="6"/>
  <c r="P180" i="6"/>
  <c r="Z180" i="6"/>
  <c r="Z181" i="6" s="1"/>
  <c r="Z182" i="6" s="1"/>
  <c r="AA180" i="6" s="1"/>
  <c r="AB180" i="6" s="1"/>
  <c r="AC180" i="6" s="1"/>
  <c r="AD193" i="6"/>
  <c r="AD181" i="6"/>
  <c r="AD182" i="6" s="1"/>
  <c r="AE180" i="6" s="1"/>
  <c r="AF180" i="6" s="1"/>
  <c r="AG180" i="6" s="1"/>
  <c r="AH180" i="6" s="1"/>
  <c r="AE192" i="6"/>
  <c r="AF192" i="6" s="1"/>
  <c r="AG192" i="6" s="1"/>
  <c r="Z193" i="6"/>
  <c r="AA192" i="6" s="1"/>
  <c r="AB192" i="6" s="1"/>
  <c r="AC192" i="6" s="1"/>
  <c r="Z186" i="6"/>
  <c r="AA186" i="6" s="1"/>
  <c r="AB186" i="6" s="1"/>
  <c r="AC186" i="6" s="1"/>
  <c r="AH186" i="6" l="1"/>
  <c r="AH192" i="6"/>
  <c r="Z149" i="6" l="1"/>
  <c r="V149" i="6"/>
  <c r="AD149" i="6" s="1"/>
  <c r="Z148" i="6"/>
  <c r="V148" i="6"/>
  <c r="AD148" i="6" s="1"/>
  <c r="Z147" i="6"/>
  <c r="V147" i="6"/>
  <c r="AD147" i="6" s="1"/>
  <c r="V146" i="6"/>
  <c r="V145" i="6"/>
  <c r="V144" i="6"/>
  <c r="N144" i="6"/>
  <c r="O144" i="6" s="1"/>
  <c r="AD144" i="6" s="1"/>
  <c r="L144" i="6"/>
  <c r="Z144" i="6" s="1"/>
  <c r="Z145" i="6" s="1"/>
  <c r="Z146" i="6" s="1"/>
  <c r="AA144" i="6" s="1"/>
  <c r="AB144" i="6" s="1"/>
  <c r="AC144" i="6" s="1"/>
  <c r="K144" i="6"/>
  <c r="Z143" i="6"/>
  <c r="V143" i="6"/>
  <c r="AD143" i="6" s="1"/>
  <c r="Z142" i="6"/>
  <c r="V142" i="6"/>
  <c r="AD142" i="6" s="1"/>
  <c r="Z141" i="6"/>
  <c r="V141" i="6"/>
  <c r="AD141" i="6" s="1"/>
  <c r="AD140" i="6"/>
  <c r="Z140" i="6"/>
  <c r="V140" i="6"/>
  <c r="AD139" i="6"/>
  <c r="Z139" i="6"/>
  <c r="V139" i="6"/>
  <c r="V138" i="6"/>
  <c r="N138" i="6"/>
  <c r="O138" i="6" s="1"/>
  <c r="AD138" i="6" s="1"/>
  <c r="L138" i="6"/>
  <c r="K138" i="6"/>
  <c r="Z137" i="6"/>
  <c r="V137" i="6"/>
  <c r="AD137" i="6" s="1"/>
  <c r="Z136" i="6"/>
  <c r="V136" i="6"/>
  <c r="AD136" i="6" s="1"/>
  <c r="Z135" i="6"/>
  <c r="V135" i="6"/>
  <c r="AD135" i="6" s="1"/>
  <c r="Z134" i="6"/>
  <c r="V134" i="6"/>
  <c r="AD134" i="6" s="1"/>
  <c r="V133" i="6"/>
  <c r="V132" i="6"/>
  <c r="N132" i="6"/>
  <c r="O132" i="6" s="1"/>
  <c r="AD132" i="6" s="1"/>
  <c r="L132" i="6"/>
  <c r="K132" i="6"/>
  <c r="Z132" i="6" l="1"/>
  <c r="P144" i="6"/>
  <c r="P132" i="6"/>
  <c r="P138" i="6"/>
  <c r="Z138" i="6"/>
  <c r="AA138" i="6" s="1"/>
  <c r="AB138" i="6" s="1"/>
  <c r="AC138" i="6" s="1"/>
  <c r="AH138" i="6" s="1"/>
  <c r="AD133" i="6"/>
  <c r="AE132" i="6"/>
  <c r="AF132" i="6" s="1"/>
  <c r="AG132" i="6" s="1"/>
  <c r="AD145" i="6"/>
  <c r="AD146" i="6" s="1"/>
  <c r="AE144" i="6" s="1"/>
  <c r="AF144" i="6" s="1"/>
  <c r="AG144" i="6" s="1"/>
  <c r="AH144" i="6" s="1"/>
  <c r="Z133" i="6"/>
  <c r="AA132" i="6" s="1"/>
  <c r="AB132" i="6" s="1"/>
  <c r="AC132" i="6" s="1"/>
  <c r="AH132" i="6" s="1"/>
  <c r="AE138" i="6"/>
  <c r="AF138" i="6" s="1"/>
  <c r="AG138" i="6" s="1"/>
  <c r="Z83" i="6" l="1"/>
  <c r="V83" i="6"/>
  <c r="AD83" i="6" s="1"/>
  <c r="Z82" i="6"/>
  <c r="V82" i="6"/>
  <c r="AD82" i="6" s="1"/>
  <c r="Z81" i="6"/>
  <c r="V81" i="6"/>
  <c r="AD81" i="6" s="1"/>
  <c r="Z80" i="6"/>
  <c r="V80" i="6"/>
  <c r="AD80" i="6" s="1"/>
  <c r="V79" i="6"/>
  <c r="V78" i="6"/>
  <c r="N78" i="6"/>
  <c r="O78" i="6" s="1"/>
  <c r="AD78" i="6" s="1"/>
  <c r="L78" i="6"/>
  <c r="K78" i="6"/>
  <c r="Z78" i="6" l="1"/>
  <c r="AD79" i="6"/>
  <c r="AE78" i="6" s="1"/>
  <c r="AG78" i="6" s="1"/>
  <c r="Z79" i="6"/>
  <c r="AA78" i="6" s="1"/>
  <c r="AC78" i="6" s="1"/>
  <c r="P78" i="6"/>
  <c r="AH78" i="6" l="1"/>
  <c r="AA14" i="5"/>
  <c r="Y14" i="5"/>
  <c r="W14" i="5"/>
  <c r="U14" i="5"/>
  <c r="S14" i="5"/>
  <c r="Q14" i="5"/>
  <c r="O14" i="5"/>
  <c r="AB14" i="5" s="1"/>
  <c r="AC14" i="5" s="1"/>
  <c r="AE14" i="5" s="1"/>
  <c r="AF14" i="5" s="1"/>
  <c r="AA13" i="5"/>
  <c r="Y13" i="5"/>
  <c r="W13" i="5"/>
  <c r="U13" i="5"/>
  <c r="S13" i="5"/>
  <c r="Q13" i="5"/>
  <c r="O13" i="5"/>
  <c r="AA12" i="5"/>
  <c r="Y12" i="5"/>
  <c r="W12" i="5"/>
  <c r="U12" i="5"/>
  <c r="S12" i="5"/>
  <c r="Q12" i="5"/>
  <c r="O12" i="5"/>
  <c r="AA11" i="5"/>
  <c r="Y11" i="5"/>
  <c r="W11" i="5"/>
  <c r="U11" i="5"/>
  <c r="S11" i="5"/>
  <c r="Q11" i="5"/>
  <c r="O11" i="5"/>
  <c r="AA10" i="5"/>
  <c r="Y10" i="5"/>
  <c r="W10" i="5"/>
  <c r="U10" i="5"/>
  <c r="S10" i="5"/>
  <c r="Q10" i="5"/>
  <c r="O10" i="5"/>
  <c r="I10" i="5"/>
  <c r="J10" i="5" s="1"/>
  <c r="G10" i="5"/>
  <c r="F10" i="5"/>
  <c r="Z77" i="6"/>
  <c r="V77" i="6"/>
  <c r="AD77" i="6" s="1"/>
  <c r="Z76" i="6"/>
  <c r="V76" i="6"/>
  <c r="AD76" i="6" s="1"/>
  <c r="Z75" i="6"/>
  <c r="V75" i="6"/>
  <c r="AD75" i="6" s="1"/>
  <c r="V74" i="6"/>
  <c r="V73" i="6"/>
  <c r="V72" i="6"/>
  <c r="N72" i="6"/>
  <c r="O72" i="6" s="1"/>
  <c r="AD72" i="6" s="1"/>
  <c r="L72" i="6"/>
  <c r="Z72" i="6" s="1"/>
  <c r="Z73" i="6" s="1"/>
  <c r="Z74" i="6" s="1"/>
  <c r="AA72" i="6" s="1"/>
  <c r="AB72" i="6" s="1"/>
  <c r="AC72" i="6" s="1"/>
  <c r="K72" i="6"/>
  <c r="Z71" i="6"/>
  <c r="V71" i="6"/>
  <c r="AD71" i="6" s="1"/>
  <c r="Z70" i="6"/>
  <c r="V70" i="6"/>
  <c r="AD70" i="6" s="1"/>
  <c r="AD69" i="6"/>
  <c r="Z69" i="6"/>
  <c r="Z68" i="6"/>
  <c r="V68" i="6"/>
  <c r="AD68" i="6" s="1"/>
  <c r="V67" i="6"/>
  <c r="V66" i="6"/>
  <c r="N66" i="6"/>
  <c r="O66" i="6" s="1"/>
  <c r="AD66" i="6" s="1"/>
  <c r="L66" i="6"/>
  <c r="K66" i="6"/>
  <c r="Z66" i="6" l="1"/>
  <c r="Z67" i="6" s="1"/>
  <c r="AA66" i="6" s="1"/>
  <c r="AB66" i="6" s="1"/>
  <c r="AC66" i="6" s="1"/>
  <c r="P66" i="6"/>
  <c r="P72" i="6"/>
  <c r="AB10" i="5"/>
  <c r="AC10" i="5" s="1"/>
  <c r="AE10" i="5" s="1"/>
  <c r="AF10" i="5" s="1"/>
  <c r="AB11" i="5"/>
  <c r="AC11" i="5" s="1"/>
  <c r="AE11" i="5" s="1"/>
  <c r="AF11" i="5" s="1"/>
  <c r="AB12" i="5"/>
  <c r="AC12" i="5" s="1"/>
  <c r="AE12" i="5" s="1"/>
  <c r="AF12" i="5" s="1"/>
  <c r="AB13" i="5"/>
  <c r="AC13" i="5" s="1"/>
  <c r="AE13" i="5" s="1"/>
  <c r="AF13" i="5" s="1"/>
  <c r="K10" i="5"/>
  <c r="AD67" i="6"/>
  <c r="AD73" i="6"/>
  <c r="AD74" i="6" s="1"/>
  <c r="AE72" i="6" s="1"/>
  <c r="AF72" i="6" s="1"/>
  <c r="AG72" i="6" s="1"/>
  <c r="AH72" i="6" s="1"/>
  <c r="AE66" i="6"/>
  <c r="AF66" i="6" s="1"/>
  <c r="AG66" i="6" s="1"/>
  <c r="AH66" i="6" l="1"/>
  <c r="AH10" i="5"/>
  <c r="AI10" i="5" s="1"/>
  <c r="AK10" i="5" s="1"/>
  <c r="AL10" i="5" s="1"/>
  <c r="AM10" i="5" s="1"/>
  <c r="AO10" i="5" l="1"/>
  <c r="AP10" i="5" s="1"/>
  <c r="AQ10" i="5" s="1"/>
  <c r="AR10" i="5" s="1"/>
  <c r="Z65" i="6"/>
  <c r="V65" i="6"/>
  <c r="AD65" i="6" s="1"/>
  <c r="Z64" i="6"/>
  <c r="V64" i="6"/>
  <c r="AD64" i="6" s="1"/>
  <c r="AD63" i="6"/>
  <c r="Z63" i="6"/>
  <c r="AD62" i="6"/>
  <c r="Z62" i="6"/>
  <c r="AD61" i="6"/>
  <c r="Z61" i="6"/>
  <c r="V60" i="6"/>
  <c r="N60" i="6"/>
  <c r="O60" i="6" s="1"/>
  <c r="AD60" i="6" s="1"/>
  <c r="AE60" i="6" s="1"/>
  <c r="AF60" i="6" s="1"/>
  <c r="AG60" i="6" s="1"/>
  <c r="L60" i="6"/>
  <c r="Z60" i="6" s="1"/>
  <c r="K60" i="6"/>
  <c r="Z59" i="6"/>
  <c r="V59" i="6"/>
  <c r="AD59" i="6" s="1"/>
  <c r="Z58" i="6"/>
  <c r="V58" i="6"/>
  <c r="AD58" i="6" s="1"/>
  <c r="AD57" i="6"/>
  <c r="Z57" i="6"/>
  <c r="AD56" i="6"/>
  <c r="Z56" i="6"/>
  <c r="AD55" i="6"/>
  <c r="Z55" i="6"/>
  <c r="V54" i="6"/>
  <c r="N54" i="6"/>
  <c r="O54" i="6" s="1"/>
  <c r="AD54" i="6" s="1"/>
  <c r="L54" i="6"/>
  <c r="K54" i="6"/>
  <c r="P54" i="6" s="1"/>
  <c r="Z53" i="6"/>
  <c r="V53" i="6"/>
  <c r="AD53" i="6" s="1"/>
  <c r="Z52" i="6"/>
  <c r="V52" i="6"/>
  <c r="AD52" i="6" s="1"/>
  <c r="Z51" i="6"/>
  <c r="V51" i="6"/>
  <c r="AD51" i="6" s="1"/>
  <c r="Z50" i="6"/>
  <c r="V50" i="6"/>
  <c r="AD50" i="6" s="1"/>
  <c r="Z49" i="6"/>
  <c r="V49" i="6"/>
  <c r="AD49" i="6" s="1"/>
  <c r="V48" i="6"/>
  <c r="N48" i="6"/>
  <c r="O48" i="6" s="1"/>
  <c r="AD48" i="6" s="1"/>
  <c r="J48" i="6"/>
  <c r="L48" i="6" s="1"/>
  <c r="Z47" i="6"/>
  <c r="V47" i="6"/>
  <c r="AD47" i="6" s="1"/>
  <c r="Z46" i="6"/>
  <c r="V46" i="6"/>
  <c r="AD46" i="6" s="1"/>
  <c r="Z45" i="6"/>
  <c r="V45" i="6"/>
  <c r="AD45" i="6" s="1"/>
  <c r="Z44" i="6"/>
  <c r="V44" i="6"/>
  <c r="AD44" i="6" s="1"/>
  <c r="Z43" i="6"/>
  <c r="V43" i="6"/>
  <c r="AD43" i="6" s="1"/>
  <c r="V42" i="6"/>
  <c r="N42" i="6"/>
  <c r="O42" i="6" s="1"/>
  <c r="AD42" i="6" s="1"/>
  <c r="L42" i="6"/>
  <c r="K42" i="6"/>
  <c r="P42" i="6" s="1"/>
  <c r="AD41" i="6"/>
  <c r="Z41" i="6"/>
  <c r="V41" i="6"/>
  <c r="Z40" i="6"/>
  <c r="V40" i="6"/>
  <c r="AD40" i="6" s="1"/>
  <c r="Z39" i="6"/>
  <c r="V39" i="6"/>
  <c r="AD39" i="6" s="1"/>
  <c r="Z38" i="6"/>
  <c r="V38" i="6"/>
  <c r="AD38" i="6" s="1"/>
  <c r="V37" i="6"/>
  <c r="V36" i="6"/>
  <c r="N36" i="6"/>
  <c r="O36" i="6" s="1"/>
  <c r="AD36" i="6" s="1"/>
  <c r="AD37" i="6" s="1"/>
  <c r="L36" i="6"/>
  <c r="K36" i="6"/>
  <c r="Z35" i="6"/>
  <c r="V35" i="6"/>
  <c r="AD35" i="6" s="1"/>
  <c r="Z34" i="6"/>
  <c r="V34" i="6"/>
  <c r="AD34" i="6" s="1"/>
  <c r="Z33" i="6"/>
  <c r="V33" i="6"/>
  <c r="AD33" i="6" s="1"/>
  <c r="Z32" i="6"/>
  <c r="V32" i="6"/>
  <c r="AD32" i="6" s="1"/>
  <c r="Z31" i="6"/>
  <c r="V31" i="6"/>
  <c r="AD31" i="6" s="1"/>
  <c r="V30" i="6"/>
  <c r="N30" i="6"/>
  <c r="O30" i="6" s="1"/>
  <c r="AD30" i="6" s="1"/>
  <c r="L30" i="6"/>
  <c r="K30" i="6"/>
  <c r="H52" i="2"/>
  <c r="I52" i="2"/>
  <c r="K52" i="2"/>
  <c r="M52" i="2" s="1"/>
  <c r="S52" i="2"/>
  <c r="W52" i="2" s="1"/>
  <c r="W53" i="2"/>
  <c r="AA53" i="2"/>
  <c r="W54" i="2"/>
  <c r="AA54" i="2"/>
  <c r="W55" i="2"/>
  <c r="AA55" i="2"/>
  <c r="S56" i="2"/>
  <c r="AA56" i="2" s="1"/>
  <c r="W56" i="2"/>
  <c r="S57" i="2"/>
  <c r="AA57" i="2" s="1"/>
  <c r="W57" i="2"/>
  <c r="Z30" i="6" l="1"/>
  <c r="AA30" i="6" s="1"/>
  <c r="AB30" i="6" s="1"/>
  <c r="AC30" i="6" s="1"/>
  <c r="Z54" i="6"/>
  <c r="K48" i="6"/>
  <c r="P48" i="6" s="1"/>
  <c r="P60" i="6"/>
  <c r="P36" i="6"/>
  <c r="Z37" i="6"/>
  <c r="P30" i="6"/>
  <c r="AA54" i="6"/>
  <c r="AB54" i="6" s="1"/>
  <c r="AC54" i="6" s="1"/>
  <c r="AE54" i="6"/>
  <c r="AF54" i="6" s="1"/>
  <c r="AG54" i="6" s="1"/>
  <c r="AA60" i="6"/>
  <c r="AB60" i="6" s="1"/>
  <c r="AC60" i="6" s="1"/>
  <c r="AH60" i="6" s="1"/>
  <c r="AE36" i="6"/>
  <c r="AF36" i="6" s="1"/>
  <c r="AG36" i="6" s="1"/>
  <c r="Z42" i="6"/>
  <c r="AA42" i="6" s="1"/>
  <c r="AB42" i="6" s="1"/>
  <c r="AC42" i="6" s="1"/>
  <c r="Z48" i="6"/>
  <c r="AA48" i="6" s="1"/>
  <c r="AB48" i="6" s="1"/>
  <c r="AC48" i="6" s="1"/>
  <c r="AE42" i="6"/>
  <c r="AF42" i="6" s="1"/>
  <c r="AG42" i="6" s="1"/>
  <c r="AH42" i="6" s="1"/>
  <c r="AE48" i="6"/>
  <c r="AF48" i="6" s="1"/>
  <c r="AG48" i="6" s="1"/>
  <c r="AE30" i="6"/>
  <c r="AF30" i="6" s="1"/>
  <c r="AG30" i="6" s="1"/>
  <c r="AH30" i="6" s="1"/>
  <c r="Z36" i="6"/>
  <c r="AA36" i="6" s="1"/>
  <c r="AB36" i="6" s="1"/>
  <c r="AC36" i="6" s="1"/>
  <c r="AH36" i="6" s="1"/>
  <c r="X52" i="2"/>
  <c r="Y52" i="2" s="1"/>
  <c r="Z52" i="2" s="1"/>
  <c r="L52" i="2"/>
  <c r="AA52" i="2" s="1"/>
  <c r="AB52" i="2" s="1"/>
  <c r="AC52" i="2" s="1"/>
  <c r="AD52" i="2" s="1"/>
  <c r="AE52" i="2" s="1"/>
  <c r="AH54" i="6" l="1"/>
  <c r="AH48" i="6"/>
  <c r="B46" i="2" l="1"/>
  <c r="H46" i="2"/>
  <c r="I46" i="2"/>
  <c r="K46" i="2"/>
  <c r="L46" i="2" s="1"/>
  <c r="AA46" i="2" s="1"/>
  <c r="S46" i="2"/>
  <c r="S47" i="2"/>
  <c r="S48" i="2"/>
  <c r="S49" i="2"/>
  <c r="AA49" i="2" s="1"/>
  <c r="W49" i="2"/>
  <c r="S50" i="2"/>
  <c r="AA50" i="2" s="1"/>
  <c r="W50" i="2"/>
  <c r="S51" i="2"/>
  <c r="AA51" i="2" s="1"/>
  <c r="W51" i="2"/>
  <c r="W46" i="2" l="1"/>
  <c r="W47" i="2" s="1"/>
  <c r="W48" i="2" s="1"/>
  <c r="X46" i="2" s="1"/>
  <c r="Y46" i="2" s="1"/>
  <c r="Z46" i="2" s="1"/>
  <c r="AA47" i="2"/>
  <c r="AA48" i="2" s="1"/>
  <c r="AB46" i="2" s="1"/>
  <c r="AC46" i="2" s="1"/>
  <c r="AD46" i="2" s="1"/>
  <c r="M46" i="2"/>
  <c r="W45" i="2"/>
  <c r="AA45" i="2"/>
  <c r="W44" i="2"/>
  <c r="AA44" i="2"/>
  <c r="W43" i="2"/>
  <c r="AA43" i="2"/>
  <c r="AA42" i="2"/>
  <c r="W42" i="2"/>
  <c r="W41" i="2"/>
  <c r="AA41" i="2"/>
  <c r="AC40" i="2"/>
  <c r="AD40" i="2" s="1"/>
  <c r="AA40" i="2"/>
  <c r="Y40" i="2"/>
  <c r="Z40" i="2" s="1"/>
  <c r="W40" i="2"/>
  <c r="S40" i="2"/>
  <c r="K40" i="2"/>
  <c r="L40" i="2" s="1"/>
  <c r="I40" i="2"/>
  <c r="H40" i="2"/>
  <c r="AE46" i="2" l="1"/>
  <c r="AE40" i="2"/>
  <c r="M40" i="2"/>
  <c r="Z425" i="6" l="1"/>
  <c r="V425" i="6"/>
  <c r="AD425" i="6" s="1"/>
  <c r="Z424" i="6"/>
  <c r="V424" i="6"/>
  <c r="AD424" i="6" s="1"/>
  <c r="Z423" i="6"/>
  <c r="V423" i="6"/>
  <c r="AD423" i="6" s="1"/>
  <c r="Z422" i="6"/>
  <c r="V422" i="6"/>
  <c r="AD422" i="6" s="1"/>
  <c r="Z421" i="6"/>
  <c r="V421" i="6"/>
  <c r="AD421" i="6" s="1"/>
  <c r="V420" i="6"/>
  <c r="N420" i="6"/>
  <c r="O420" i="6" s="1"/>
  <c r="AD420" i="6" s="1"/>
  <c r="L420" i="6"/>
  <c r="K420" i="6"/>
  <c r="Z419" i="6"/>
  <c r="V419" i="6"/>
  <c r="AD419" i="6" s="1"/>
  <c r="Z418" i="6"/>
  <c r="V418" i="6"/>
  <c r="AD418" i="6" s="1"/>
  <c r="Z417" i="6"/>
  <c r="V417" i="6"/>
  <c r="AD417" i="6" s="1"/>
  <c r="Z416" i="6"/>
  <c r="V416" i="6"/>
  <c r="AD416" i="6" s="1"/>
  <c r="Z415" i="6"/>
  <c r="V415" i="6"/>
  <c r="AD415" i="6" s="1"/>
  <c r="V414" i="6"/>
  <c r="N414" i="6"/>
  <c r="O414" i="6" s="1"/>
  <c r="AD414" i="6" s="1"/>
  <c r="L414" i="6"/>
  <c r="K414" i="6"/>
  <c r="Z413" i="6"/>
  <c r="V413" i="6"/>
  <c r="AD413" i="6" s="1"/>
  <c r="Z412" i="6"/>
  <c r="V412" i="6"/>
  <c r="AD412" i="6" s="1"/>
  <c r="Z411" i="6"/>
  <c r="V411" i="6"/>
  <c r="AD411" i="6" s="1"/>
  <c r="Z410" i="6"/>
  <c r="V410" i="6"/>
  <c r="AD410" i="6" s="1"/>
  <c r="Z409" i="6"/>
  <c r="V409" i="6"/>
  <c r="AD409" i="6" s="1"/>
  <c r="V408" i="6"/>
  <c r="N408" i="6"/>
  <c r="O408" i="6" s="1"/>
  <c r="AD408" i="6" s="1"/>
  <c r="L408" i="6"/>
  <c r="K408" i="6"/>
  <c r="Z407" i="6"/>
  <c r="V407" i="6"/>
  <c r="AD407" i="6" s="1"/>
  <c r="Z406" i="6"/>
  <c r="V406" i="6"/>
  <c r="AD406" i="6" s="1"/>
  <c r="Z405" i="6"/>
  <c r="V405" i="6"/>
  <c r="AD405" i="6" s="1"/>
  <c r="Z404" i="6"/>
  <c r="V404" i="6"/>
  <c r="AD404" i="6" s="1"/>
  <c r="Z403" i="6"/>
  <c r="V403" i="6"/>
  <c r="AD403" i="6" s="1"/>
  <c r="V402" i="6"/>
  <c r="N402" i="6"/>
  <c r="O402" i="6" s="1"/>
  <c r="AD402" i="6" s="1"/>
  <c r="L402" i="6"/>
  <c r="K402" i="6"/>
  <c r="Z420" i="6" l="1"/>
  <c r="AA420" i="6" s="1"/>
  <c r="AB420" i="6" s="1"/>
  <c r="AC420" i="6" s="1"/>
  <c r="P420" i="6"/>
  <c r="Z414" i="6"/>
  <c r="Z408" i="6"/>
  <c r="AA408" i="6" s="1"/>
  <c r="AB408" i="6" s="1"/>
  <c r="AC408" i="6" s="1"/>
  <c r="AE402" i="6"/>
  <c r="AF402" i="6" s="1"/>
  <c r="AG402" i="6" s="1"/>
  <c r="AE414" i="6"/>
  <c r="AF414" i="6" s="1"/>
  <c r="AG414" i="6" s="1"/>
  <c r="P402" i="6"/>
  <c r="Z402" i="6"/>
  <c r="AA402" i="6" s="1"/>
  <c r="AB402" i="6" s="1"/>
  <c r="AC402" i="6" s="1"/>
  <c r="P408" i="6"/>
  <c r="P414" i="6"/>
  <c r="AA414" i="6"/>
  <c r="AB414" i="6" s="1"/>
  <c r="AC414" i="6" s="1"/>
  <c r="AE408" i="6"/>
  <c r="AF408" i="6" s="1"/>
  <c r="AG408" i="6" s="1"/>
  <c r="AE420" i="6"/>
  <c r="AF420" i="6" s="1"/>
  <c r="AG420" i="6" s="1"/>
  <c r="AH420" i="6" s="1"/>
  <c r="AH402" i="6" l="1"/>
  <c r="AH408" i="6"/>
  <c r="AH414" i="6"/>
  <c r="AA84" i="5"/>
  <c r="Y84" i="5"/>
  <c r="W84" i="5"/>
  <c r="U84" i="5"/>
  <c r="S84" i="5"/>
  <c r="Q84" i="5"/>
  <c r="O84" i="5"/>
  <c r="AA83" i="5"/>
  <c r="Y83" i="5"/>
  <c r="W83" i="5"/>
  <c r="U83" i="5"/>
  <c r="S83" i="5"/>
  <c r="Q83" i="5"/>
  <c r="O83" i="5"/>
  <c r="AA82" i="5"/>
  <c r="Y82" i="5"/>
  <c r="W82" i="5"/>
  <c r="U82" i="5"/>
  <c r="S82" i="5"/>
  <c r="Q82" i="5"/>
  <c r="O82" i="5"/>
  <c r="AA81" i="5"/>
  <c r="Y81" i="5"/>
  <c r="W81" i="5"/>
  <c r="U81" i="5"/>
  <c r="S81" i="5"/>
  <c r="Q81" i="5"/>
  <c r="O81" i="5"/>
  <c r="AA80" i="5"/>
  <c r="Y80" i="5"/>
  <c r="W80" i="5"/>
  <c r="U80" i="5"/>
  <c r="S80" i="5"/>
  <c r="Q80" i="5"/>
  <c r="O80" i="5"/>
  <c r="I80" i="5"/>
  <c r="J80" i="5" s="1"/>
  <c r="G80" i="5"/>
  <c r="F80" i="5"/>
  <c r="Z401" i="6"/>
  <c r="V401" i="6"/>
  <c r="AD401" i="6" s="1"/>
  <c r="Z400" i="6"/>
  <c r="V400" i="6"/>
  <c r="AD400" i="6" s="1"/>
  <c r="Z399" i="6"/>
  <c r="V399" i="6"/>
  <c r="AD399" i="6" s="1"/>
  <c r="Z398" i="6"/>
  <c r="V398" i="6"/>
  <c r="AD398" i="6" s="1"/>
  <c r="Z397" i="6"/>
  <c r="V397" i="6"/>
  <c r="AD397" i="6" s="1"/>
  <c r="V396" i="6"/>
  <c r="N396" i="6"/>
  <c r="O396" i="6" s="1"/>
  <c r="AD396" i="6" s="1"/>
  <c r="L396" i="6"/>
  <c r="K396" i="6"/>
  <c r="Z395" i="6"/>
  <c r="V395" i="6"/>
  <c r="AD395" i="6" s="1"/>
  <c r="Z394" i="6"/>
  <c r="V394" i="6"/>
  <c r="AD394" i="6" s="1"/>
  <c r="V393" i="6"/>
  <c r="V392" i="6"/>
  <c r="S392" i="6"/>
  <c r="V391" i="6"/>
  <c r="S391" i="6"/>
  <c r="V390" i="6"/>
  <c r="S390" i="6"/>
  <c r="N390" i="6"/>
  <c r="O390" i="6" s="1"/>
  <c r="L390" i="6"/>
  <c r="K390" i="6"/>
  <c r="Z396" i="6" l="1"/>
  <c r="AA396" i="6" s="1"/>
  <c r="AB396" i="6" s="1"/>
  <c r="AC396" i="6" s="1"/>
  <c r="AB81" i="5"/>
  <c r="AC81" i="5" s="1"/>
  <c r="AE81" i="5" s="1"/>
  <c r="AF81" i="5" s="1"/>
  <c r="AB82" i="5"/>
  <c r="AC82" i="5" s="1"/>
  <c r="AE82" i="5" s="1"/>
  <c r="AF82" i="5" s="1"/>
  <c r="AB83" i="5"/>
  <c r="AC83" i="5" s="1"/>
  <c r="AE83" i="5" s="1"/>
  <c r="AF83" i="5" s="1"/>
  <c r="AB80" i="5"/>
  <c r="AC80" i="5" s="1"/>
  <c r="AE80" i="5" s="1"/>
  <c r="AF80" i="5" s="1"/>
  <c r="AB84" i="5"/>
  <c r="AC84" i="5" s="1"/>
  <c r="AE84" i="5" s="1"/>
  <c r="AF84" i="5" s="1"/>
  <c r="AD390" i="6"/>
  <c r="AD391" i="6" s="1"/>
  <c r="AD392" i="6" s="1"/>
  <c r="AE390" i="6" s="1"/>
  <c r="AF390" i="6" s="1"/>
  <c r="AG390" i="6" s="1"/>
  <c r="Z390" i="6"/>
  <c r="Z391" i="6" s="1"/>
  <c r="Z392" i="6" s="1"/>
  <c r="P390" i="6"/>
  <c r="AD393" i="6"/>
  <c r="P396" i="6"/>
  <c r="K80" i="5"/>
  <c r="AE396" i="6"/>
  <c r="AF396" i="6" s="1"/>
  <c r="AG396" i="6" s="1"/>
  <c r="Z393" i="6"/>
  <c r="AH80" i="5" l="1"/>
  <c r="AI80" i="5" s="1"/>
  <c r="AK80" i="5" s="1"/>
  <c r="AL80" i="5" s="1"/>
  <c r="AM80" i="5" s="1"/>
  <c r="AH396" i="6"/>
  <c r="AA390" i="6"/>
  <c r="AB390" i="6" s="1"/>
  <c r="AC390" i="6" s="1"/>
  <c r="AH390" i="6" s="1"/>
  <c r="AO80" i="5" l="1"/>
  <c r="AP80" i="5" s="1"/>
  <c r="AQ80" i="5" s="1"/>
  <c r="AR80" i="5" s="1"/>
  <c r="AA39" i="5"/>
  <c r="Y39" i="5"/>
  <c r="W39" i="5"/>
  <c r="U39" i="5"/>
  <c r="S39" i="5"/>
  <c r="Q39" i="5"/>
  <c r="O39" i="5"/>
  <c r="AA38" i="5"/>
  <c r="Y38" i="5"/>
  <c r="W38" i="5"/>
  <c r="U38" i="5"/>
  <c r="S38" i="5"/>
  <c r="Q38" i="5"/>
  <c r="O38" i="5"/>
  <c r="AA37" i="5"/>
  <c r="Y37" i="5"/>
  <c r="W37" i="5"/>
  <c r="U37" i="5"/>
  <c r="S37" i="5"/>
  <c r="Q37" i="5"/>
  <c r="O37" i="5"/>
  <c r="AA36" i="5"/>
  <c r="Y36" i="5"/>
  <c r="W36" i="5"/>
  <c r="U36" i="5"/>
  <c r="S36" i="5"/>
  <c r="Q36" i="5"/>
  <c r="O36" i="5"/>
  <c r="AR35" i="5"/>
  <c r="AA35" i="5"/>
  <c r="Y35" i="5"/>
  <c r="W35" i="5"/>
  <c r="U35" i="5"/>
  <c r="S35" i="5"/>
  <c r="Q35" i="5"/>
  <c r="O35" i="5"/>
  <c r="I35" i="5"/>
  <c r="J35" i="5" s="1"/>
  <c r="G35" i="5"/>
  <c r="F35" i="5"/>
  <c r="AB35" i="5" l="1"/>
  <c r="AC35" i="5" s="1"/>
  <c r="AE35" i="5" s="1"/>
  <c r="AF35" i="5" s="1"/>
  <c r="AB36" i="5"/>
  <c r="AC36" i="5" s="1"/>
  <c r="AE36" i="5" s="1"/>
  <c r="AF36" i="5" s="1"/>
  <c r="AB39" i="5"/>
  <c r="AC39" i="5" s="1"/>
  <c r="AE39" i="5" s="1"/>
  <c r="AF39" i="5" s="1"/>
  <c r="AB38" i="5"/>
  <c r="AC38" i="5" s="1"/>
  <c r="AE38" i="5" s="1"/>
  <c r="AF38" i="5" s="1"/>
  <c r="AB37" i="5"/>
  <c r="AC37" i="5" s="1"/>
  <c r="AE37" i="5" s="1"/>
  <c r="AF37" i="5" s="1"/>
  <c r="K35" i="5"/>
  <c r="AH35" i="5" l="1"/>
  <c r="AI35" i="5" s="1"/>
  <c r="AO35" i="5" s="1"/>
  <c r="AP35" i="5" s="1"/>
  <c r="AK35" i="5" l="1"/>
  <c r="AL35" i="5" s="1"/>
  <c r="Z461" i="6"/>
  <c r="V461" i="6"/>
  <c r="AD461" i="6" s="1"/>
  <c r="Z460" i="6"/>
  <c r="V460" i="6"/>
  <c r="AD460" i="6" s="1"/>
  <c r="Z459" i="6"/>
  <c r="V459" i="6"/>
  <c r="AD459" i="6" s="1"/>
  <c r="Z458" i="6"/>
  <c r="V458" i="6"/>
  <c r="AD458" i="6" s="1"/>
  <c r="Z457" i="6"/>
  <c r="V457" i="6"/>
  <c r="AD457" i="6" s="1"/>
  <c r="V456" i="6"/>
  <c r="N456" i="6"/>
  <c r="O456" i="6" s="1"/>
  <c r="AD456" i="6" s="1"/>
  <c r="L456" i="6"/>
  <c r="K456" i="6"/>
  <c r="Z437" i="6"/>
  <c r="V437" i="6"/>
  <c r="AD437" i="6" s="1"/>
  <c r="Z436" i="6"/>
  <c r="V436" i="6"/>
  <c r="AD436" i="6" s="1"/>
  <c r="Z435" i="6"/>
  <c r="V435" i="6"/>
  <c r="AD435" i="6" s="1"/>
  <c r="Z434" i="6"/>
  <c r="V434" i="6"/>
  <c r="AD434" i="6" s="1"/>
  <c r="V433" i="6"/>
  <c r="V432" i="6"/>
  <c r="N432" i="6"/>
  <c r="O432" i="6" s="1"/>
  <c r="AD432" i="6" s="1"/>
  <c r="L432" i="6"/>
  <c r="K432" i="6"/>
  <c r="Z431" i="6"/>
  <c r="V431" i="6"/>
  <c r="AD431" i="6" s="1"/>
  <c r="Z430" i="6"/>
  <c r="V430" i="6"/>
  <c r="AD430" i="6" s="1"/>
  <c r="Z429" i="6"/>
  <c r="V429" i="6"/>
  <c r="AD429" i="6" s="1"/>
  <c r="Z428" i="6"/>
  <c r="V428" i="6"/>
  <c r="AD428" i="6" s="1"/>
  <c r="Z427" i="6"/>
  <c r="V427" i="6"/>
  <c r="AD427" i="6" s="1"/>
  <c r="V426" i="6"/>
  <c r="N426" i="6"/>
  <c r="O426" i="6" s="1"/>
  <c r="AD426" i="6" s="1"/>
  <c r="L426" i="6"/>
  <c r="K426" i="6"/>
  <c r="Z269" i="6"/>
  <c r="V269" i="6"/>
  <c r="AD269" i="6" s="1"/>
  <c r="Z268" i="6"/>
  <c r="V268" i="6"/>
  <c r="AD268" i="6" s="1"/>
  <c r="Z267" i="6"/>
  <c r="V267" i="6"/>
  <c r="AD267" i="6" s="1"/>
  <c r="Z266" i="6"/>
  <c r="V266" i="6"/>
  <c r="AD266" i="6" s="1"/>
  <c r="Z265" i="6"/>
  <c r="V265" i="6"/>
  <c r="AD265" i="6" s="1"/>
  <c r="V264" i="6"/>
  <c r="N264" i="6"/>
  <c r="O264" i="6" s="1"/>
  <c r="AD264" i="6" s="1"/>
  <c r="L264" i="6"/>
  <c r="K264" i="6"/>
  <c r="Z263" i="6"/>
  <c r="V263" i="6"/>
  <c r="AD263" i="6" s="1"/>
  <c r="Z262" i="6"/>
  <c r="V262" i="6"/>
  <c r="AD262" i="6" s="1"/>
  <c r="Z261" i="6"/>
  <c r="V261" i="6"/>
  <c r="AD261" i="6" s="1"/>
  <c r="Z260" i="6"/>
  <c r="V260" i="6"/>
  <c r="AD260" i="6" s="1"/>
  <c r="V259" i="6"/>
  <c r="V258" i="6"/>
  <c r="N258" i="6"/>
  <c r="O258" i="6" s="1"/>
  <c r="AD258" i="6" s="1"/>
  <c r="J258" i="6"/>
  <c r="K258" i="6" s="1"/>
  <c r="Z257" i="6"/>
  <c r="V257" i="6"/>
  <c r="AD257" i="6" s="1"/>
  <c r="Z256" i="6"/>
  <c r="V256" i="6"/>
  <c r="AD256" i="6" s="1"/>
  <c r="Z255" i="6"/>
  <c r="V255" i="6"/>
  <c r="AD255" i="6" s="1"/>
  <c r="V254" i="6"/>
  <c r="AD254" i="6" s="1"/>
  <c r="V253" i="6"/>
  <c r="V252" i="6"/>
  <c r="N252" i="6"/>
  <c r="O252" i="6" s="1"/>
  <c r="AD252" i="6" s="1"/>
  <c r="L252" i="6"/>
  <c r="K252" i="6"/>
  <c r="Z251" i="6"/>
  <c r="V251" i="6"/>
  <c r="AD251" i="6" s="1"/>
  <c r="Z250" i="6"/>
  <c r="V250" i="6"/>
  <c r="AD250" i="6" s="1"/>
  <c r="Z249" i="6"/>
  <c r="V249" i="6"/>
  <c r="AD249" i="6" s="1"/>
  <c r="Z248" i="6"/>
  <c r="V248" i="6"/>
  <c r="AD248" i="6" s="1"/>
  <c r="V247" i="6"/>
  <c r="V246" i="6"/>
  <c r="N246" i="6"/>
  <c r="O246" i="6" s="1"/>
  <c r="AD246" i="6" s="1"/>
  <c r="L246" i="6"/>
  <c r="K246" i="6"/>
  <c r="Z245" i="6"/>
  <c r="V245" i="6"/>
  <c r="AD245" i="6" s="1"/>
  <c r="Z244" i="6"/>
  <c r="V244" i="6"/>
  <c r="AD244" i="6" s="1"/>
  <c r="Z243" i="6"/>
  <c r="V243" i="6"/>
  <c r="AD243" i="6" s="1"/>
  <c r="Z242" i="6"/>
  <c r="V242" i="6"/>
  <c r="AD242" i="6" s="1"/>
  <c r="V241" i="6"/>
  <c r="V240" i="6"/>
  <c r="N240" i="6"/>
  <c r="O240" i="6" s="1"/>
  <c r="AD240" i="6" s="1"/>
  <c r="L240" i="6"/>
  <c r="K240" i="6"/>
  <c r="Z239" i="6"/>
  <c r="V239" i="6"/>
  <c r="AD239" i="6" s="1"/>
  <c r="Z238" i="6"/>
  <c r="V238" i="6"/>
  <c r="AD238" i="6" s="1"/>
  <c r="Z237" i="6"/>
  <c r="V237" i="6"/>
  <c r="AD237" i="6" s="1"/>
  <c r="Z236" i="6"/>
  <c r="V236" i="6"/>
  <c r="AD236" i="6" s="1"/>
  <c r="Z235" i="6"/>
  <c r="V235" i="6"/>
  <c r="AD235" i="6" s="1"/>
  <c r="V234" i="6"/>
  <c r="N234" i="6"/>
  <c r="O234" i="6" s="1"/>
  <c r="AD234" i="6" s="1"/>
  <c r="L234" i="6"/>
  <c r="K234" i="6"/>
  <c r="V233" i="6"/>
  <c r="V232" i="6"/>
  <c r="V231" i="6"/>
  <c r="V230" i="6"/>
  <c r="V229" i="6"/>
  <c r="V228" i="6"/>
  <c r="N228" i="6"/>
  <c r="O228" i="6" s="1"/>
  <c r="AD228" i="6" s="1"/>
  <c r="K228" i="6"/>
  <c r="J228" i="6"/>
  <c r="L228" i="6" s="1"/>
  <c r="Z227" i="6"/>
  <c r="V227" i="6"/>
  <c r="AD227" i="6" s="1"/>
  <c r="Z226" i="6"/>
  <c r="V226" i="6"/>
  <c r="AD226" i="6" s="1"/>
  <c r="Z225" i="6"/>
  <c r="V225" i="6"/>
  <c r="AD225" i="6" s="1"/>
  <c r="Z224" i="6"/>
  <c r="V224" i="6"/>
  <c r="AD224" i="6" s="1"/>
  <c r="Z223" i="6"/>
  <c r="V223" i="6"/>
  <c r="AD223" i="6" s="1"/>
  <c r="V222" i="6"/>
  <c r="N222" i="6"/>
  <c r="O222" i="6" s="1"/>
  <c r="AD222" i="6" s="1"/>
  <c r="L222" i="6"/>
  <c r="K222" i="6"/>
  <c r="Z426" i="6" l="1"/>
  <c r="AA426" i="6" s="1"/>
  <c r="AB426" i="6" s="1"/>
  <c r="AC426" i="6" s="1"/>
  <c r="L258" i="6"/>
  <c r="Z264" i="6"/>
  <c r="AA264" i="6" s="1"/>
  <c r="AB264" i="6" s="1"/>
  <c r="AC264" i="6" s="1"/>
  <c r="Z456" i="6"/>
  <c r="Z246" i="6"/>
  <c r="Z240" i="6"/>
  <c r="Z241" i="6" s="1"/>
  <c r="P258" i="6"/>
  <c r="P240" i="6"/>
  <c r="Z252" i="6"/>
  <c r="Z253" i="6" s="1"/>
  <c r="Z254" i="6" s="1"/>
  <c r="AA252" i="6" s="1"/>
  <c r="AB252" i="6" s="1"/>
  <c r="AC252" i="6" s="1"/>
  <c r="Z432" i="6"/>
  <c r="Z433" i="6" s="1"/>
  <c r="AA432" i="6" s="1"/>
  <c r="AB432" i="6" s="1"/>
  <c r="AC432" i="6" s="1"/>
  <c r="P456" i="6"/>
  <c r="Z222" i="6"/>
  <c r="AA222" i="6" s="1"/>
  <c r="AB222" i="6" s="1"/>
  <c r="AC222" i="6" s="1"/>
  <c r="Z228" i="6"/>
  <c r="Z229" i="6" s="1"/>
  <c r="Z230" i="6" s="1"/>
  <c r="Z231" i="6" s="1"/>
  <c r="Z232" i="6" s="1"/>
  <c r="Z233" i="6" s="1"/>
  <c r="Z247" i="6"/>
  <c r="AA246" i="6" s="1"/>
  <c r="AB246" i="6" s="1"/>
  <c r="AC246" i="6" s="1"/>
  <c r="Z258" i="6"/>
  <c r="Z259" i="6" s="1"/>
  <c r="AA258" i="6" s="1"/>
  <c r="AB258" i="6" s="1"/>
  <c r="AC258" i="6" s="1"/>
  <c r="P234" i="6"/>
  <c r="P252" i="6"/>
  <c r="Z234" i="6"/>
  <c r="P264" i="6"/>
  <c r="P426" i="6"/>
  <c r="P222" i="6"/>
  <c r="P246" i="6"/>
  <c r="P432" i="6"/>
  <c r="AD229" i="6"/>
  <c r="AD230" i="6" s="1"/>
  <c r="AD231" i="6" s="1"/>
  <c r="AD232" i="6" s="1"/>
  <c r="AD233" i="6" s="1"/>
  <c r="AE228" i="6" s="1"/>
  <c r="AF228" i="6" s="1"/>
  <c r="AG228" i="6" s="1"/>
  <c r="AA234" i="6"/>
  <c r="AB234" i="6" s="1"/>
  <c r="AC234" i="6" s="1"/>
  <c r="AE252" i="6"/>
  <c r="AF252" i="6" s="1"/>
  <c r="AG252" i="6" s="1"/>
  <c r="AD259" i="6"/>
  <c r="AE258" i="6" s="1"/>
  <c r="AF258" i="6" s="1"/>
  <c r="AG258" i="6" s="1"/>
  <c r="AD433" i="6"/>
  <c r="AE432" i="6" s="1"/>
  <c r="AF432" i="6" s="1"/>
  <c r="AG432" i="6" s="1"/>
  <c r="AA456" i="6"/>
  <c r="AB456" i="6" s="1"/>
  <c r="AC456" i="6" s="1"/>
  <c r="P228" i="6"/>
  <c r="AE234" i="6"/>
  <c r="AF234" i="6" s="1"/>
  <c r="AG234" i="6" s="1"/>
  <c r="AD247" i="6"/>
  <c r="AE246" i="6" s="1"/>
  <c r="AF246" i="6" s="1"/>
  <c r="AG246" i="6" s="1"/>
  <c r="AE456" i="6"/>
  <c r="AF456" i="6" s="1"/>
  <c r="AG456" i="6" s="1"/>
  <c r="AE426" i="6"/>
  <c r="AF426" i="6" s="1"/>
  <c r="AG426" i="6" s="1"/>
  <c r="AH426" i="6" s="1"/>
  <c r="AE222" i="6"/>
  <c r="AF222" i="6" s="1"/>
  <c r="AG222" i="6" s="1"/>
  <c r="AH222" i="6" s="1"/>
  <c r="AD241" i="6"/>
  <c r="AE240" i="6" s="1"/>
  <c r="AF240" i="6" s="1"/>
  <c r="AG240" i="6" s="1"/>
  <c r="AD253" i="6"/>
  <c r="AE264" i="6"/>
  <c r="AF264" i="6" s="1"/>
  <c r="AG264" i="6" s="1"/>
  <c r="AH264" i="6" l="1"/>
  <c r="AH252" i="6"/>
  <c r="AA240" i="6"/>
  <c r="AB240" i="6" s="1"/>
  <c r="AC240" i="6" s="1"/>
  <c r="AH240" i="6" s="1"/>
  <c r="AA228" i="6"/>
  <c r="AB228" i="6" s="1"/>
  <c r="AC228" i="6" s="1"/>
  <c r="AH228" i="6" s="1"/>
  <c r="AH432" i="6"/>
  <c r="AH258" i="6"/>
  <c r="AH246" i="6"/>
  <c r="AH456" i="6"/>
  <c r="AH234" i="6"/>
  <c r="Z209" i="6" l="1"/>
  <c r="V209" i="6"/>
  <c r="AD209" i="6" s="1"/>
  <c r="Z208" i="6"/>
  <c r="V208" i="6"/>
  <c r="AD208" i="6" s="1"/>
  <c r="Z207" i="6"/>
  <c r="V207" i="6"/>
  <c r="AD207" i="6" s="1"/>
  <c r="V206" i="6"/>
  <c r="AD206" i="6" s="1"/>
  <c r="V205" i="6"/>
  <c r="V204" i="6"/>
  <c r="N204" i="6"/>
  <c r="O204" i="6" s="1"/>
  <c r="AD204" i="6" s="1"/>
  <c r="L204" i="6"/>
  <c r="K204" i="6"/>
  <c r="Z204" i="6" l="1"/>
  <c r="Z205" i="6" s="1"/>
  <c r="Z206" i="6" s="1"/>
  <c r="AA204" i="6" s="1"/>
  <c r="AC204" i="6" s="1"/>
  <c r="AE204" i="6"/>
  <c r="AG204" i="6" s="1"/>
  <c r="AD205" i="6"/>
  <c r="P204" i="6"/>
  <c r="AH204" i="6" l="1"/>
  <c r="Z203" i="6"/>
  <c r="V203" i="6"/>
  <c r="AD203" i="6" s="1"/>
  <c r="Z202" i="6"/>
  <c r="V202" i="6"/>
  <c r="AD202" i="6" s="1"/>
  <c r="Z201" i="6"/>
  <c r="V201" i="6"/>
  <c r="AD201" i="6" s="1"/>
  <c r="Z200" i="6"/>
  <c r="V200" i="6"/>
  <c r="AD200" i="6" s="1"/>
  <c r="Z199" i="6"/>
  <c r="V199" i="6"/>
  <c r="AD199" i="6" s="1"/>
  <c r="V198" i="6"/>
  <c r="N198" i="6"/>
  <c r="O198" i="6" s="1"/>
  <c r="AD198" i="6" s="1"/>
  <c r="L198" i="6"/>
  <c r="K198" i="6"/>
  <c r="P198" i="6" l="1"/>
  <c r="Z198" i="6"/>
  <c r="AA198" i="6" s="1"/>
  <c r="AB198" i="6" s="1"/>
  <c r="AC198" i="6" s="1"/>
  <c r="AE198" i="6"/>
  <c r="AF198" i="6" s="1"/>
  <c r="AG198" i="6" s="1"/>
  <c r="AH198" i="6" l="1"/>
  <c r="Z389" i="6" l="1"/>
  <c r="V389" i="6"/>
  <c r="AD389" i="6" s="1"/>
  <c r="Z388" i="6"/>
  <c r="V388" i="6"/>
  <c r="AD388" i="6" s="1"/>
  <c r="Z387" i="6"/>
  <c r="V387" i="6"/>
  <c r="AD387" i="6" s="1"/>
  <c r="Z386" i="6"/>
  <c r="V386" i="6"/>
  <c r="AD386" i="6" s="1"/>
  <c r="Z385" i="6"/>
  <c r="V385" i="6"/>
  <c r="AD385" i="6" s="1"/>
  <c r="V384" i="6"/>
  <c r="N384" i="6"/>
  <c r="O384" i="6" s="1"/>
  <c r="L384" i="6"/>
  <c r="K384" i="6"/>
  <c r="Z179" i="6"/>
  <c r="V179" i="6"/>
  <c r="AD179" i="6" s="1"/>
  <c r="Z178" i="6"/>
  <c r="V178" i="6"/>
  <c r="AD178" i="6" s="1"/>
  <c r="V177" i="6"/>
  <c r="V176" i="6"/>
  <c r="V175" i="6"/>
  <c r="V174" i="6"/>
  <c r="N174" i="6"/>
  <c r="O174" i="6" s="1"/>
  <c r="AD174" i="6" s="1"/>
  <c r="L174" i="6"/>
  <c r="K174" i="6"/>
  <c r="Z173" i="6"/>
  <c r="V173" i="6"/>
  <c r="AD173" i="6" s="1"/>
  <c r="Z172" i="6"/>
  <c r="V172" i="6"/>
  <c r="AD172" i="6" s="1"/>
  <c r="Z171" i="6"/>
  <c r="V171" i="6"/>
  <c r="AD171" i="6" s="1"/>
  <c r="AD170" i="6"/>
  <c r="Z170" i="6"/>
  <c r="V170" i="6"/>
  <c r="AD169" i="6"/>
  <c r="Z169" i="6"/>
  <c r="V169" i="6"/>
  <c r="V168" i="6"/>
  <c r="N168" i="6"/>
  <c r="O168" i="6" s="1"/>
  <c r="AD168" i="6" s="1"/>
  <c r="L168" i="6"/>
  <c r="K168" i="6"/>
  <c r="Z167" i="6"/>
  <c r="V167" i="6"/>
  <c r="AD167" i="6" s="1"/>
  <c r="Z166" i="6"/>
  <c r="V166" i="6"/>
  <c r="AD166" i="6" s="1"/>
  <c r="Z165" i="6"/>
  <c r="V165" i="6"/>
  <c r="AD165" i="6" s="1"/>
  <c r="Z164" i="6"/>
  <c r="V164" i="6"/>
  <c r="AD164" i="6" s="1"/>
  <c r="V163" i="6"/>
  <c r="V162" i="6"/>
  <c r="N162" i="6"/>
  <c r="O162" i="6" s="1"/>
  <c r="AD162" i="6" s="1"/>
  <c r="L162" i="6"/>
  <c r="K162" i="6"/>
  <c r="Z161" i="6"/>
  <c r="V161" i="6"/>
  <c r="AD161" i="6" s="1"/>
  <c r="Z160" i="6"/>
  <c r="V160" i="6"/>
  <c r="AD160" i="6" s="1"/>
  <c r="Z159" i="6"/>
  <c r="V159" i="6"/>
  <c r="AD159" i="6" s="1"/>
  <c r="V158" i="6"/>
  <c r="AD158" i="6" s="1"/>
  <c r="V157" i="6"/>
  <c r="V156" i="6"/>
  <c r="N156" i="6"/>
  <c r="O156" i="6" s="1"/>
  <c r="L156" i="6"/>
  <c r="Z156" i="6" s="1"/>
  <c r="K156" i="6"/>
  <c r="Z155" i="6"/>
  <c r="V155" i="6"/>
  <c r="AD155" i="6" s="1"/>
  <c r="Z154" i="6"/>
  <c r="V154" i="6"/>
  <c r="AD154" i="6" s="1"/>
  <c r="Z153" i="6"/>
  <c r="V153" i="6"/>
  <c r="AD153" i="6" s="1"/>
  <c r="Z152" i="6"/>
  <c r="V152" i="6"/>
  <c r="AD152" i="6" s="1"/>
  <c r="Z151" i="6"/>
  <c r="V151" i="6"/>
  <c r="AD151" i="6" s="1"/>
  <c r="V150" i="6"/>
  <c r="N150" i="6"/>
  <c r="O150" i="6" s="1"/>
  <c r="AD150" i="6" s="1"/>
  <c r="L150" i="6"/>
  <c r="K150" i="6"/>
  <c r="AD156" i="6" l="1"/>
  <c r="AD157" i="6" s="1"/>
  <c r="Z384" i="6"/>
  <c r="AA384" i="6" s="1"/>
  <c r="AC384" i="6" s="1"/>
  <c r="P174" i="6"/>
  <c r="P162" i="6"/>
  <c r="AD163" i="6"/>
  <c r="AE162" i="6" s="1"/>
  <c r="AG162" i="6" s="1"/>
  <c r="Z168" i="6"/>
  <c r="AA168" i="6" s="1"/>
  <c r="AC168" i="6" s="1"/>
  <c r="P384" i="6"/>
  <c r="AD384" i="6"/>
  <c r="AE384" i="6" s="1"/>
  <c r="AE156" i="6"/>
  <c r="AE168" i="6"/>
  <c r="AD175" i="6"/>
  <c r="AD176" i="6" s="1"/>
  <c r="AD177" i="6" s="1"/>
  <c r="AE174" i="6" s="1"/>
  <c r="AE150" i="6"/>
  <c r="P150" i="6"/>
  <c r="Z150" i="6"/>
  <c r="AA150" i="6" s="1"/>
  <c r="P156" i="6"/>
  <c r="Z157" i="6"/>
  <c r="Z158" i="6" s="1"/>
  <c r="AA156" i="6" s="1"/>
  <c r="Z162" i="6"/>
  <c r="P168" i="6"/>
  <c r="Z174" i="6"/>
  <c r="Z175" i="6" s="1"/>
  <c r="Z176" i="6" s="1"/>
  <c r="AB168" i="6" l="1"/>
  <c r="AB384" i="6"/>
  <c r="AF162" i="6"/>
  <c r="AG384" i="6"/>
  <c r="AH384" i="6" s="1"/>
  <c r="AF384" i="6"/>
  <c r="AB150" i="6"/>
  <c r="AC150" i="6"/>
  <c r="AG174" i="6"/>
  <c r="AF174" i="6"/>
  <c r="Z163" i="6"/>
  <c r="AA162" i="6" s="1"/>
  <c r="AC156" i="6"/>
  <c r="AB156" i="6"/>
  <c r="Z177" i="6"/>
  <c r="AA174" i="6" s="1"/>
  <c r="AF150" i="6"/>
  <c r="AG150" i="6"/>
  <c r="AG168" i="6"/>
  <c r="AH168" i="6" s="1"/>
  <c r="AF168" i="6"/>
  <c r="AG156" i="6"/>
  <c r="AF156" i="6"/>
  <c r="AC174" i="6" l="1"/>
  <c r="AH174" i="6" s="1"/>
  <c r="AB174" i="6"/>
  <c r="AH156" i="6"/>
  <c r="AC162" i="6"/>
  <c r="AH162" i="6" s="1"/>
  <c r="AB162" i="6"/>
  <c r="AH150" i="6"/>
  <c r="AA34" i="5" l="1"/>
  <c r="Y34" i="5"/>
  <c r="W34" i="5"/>
  <c r="U34" i="5"/>
  <c r="S34" i="5"/>
  <c r="Q34" i="5"/>
  <c r="O34" i="5"/>
  <c r="AA33" i="5"/>
  <c r="Y33" i="5"/>
  <c r="W33" i="5"/>
  <c r="U33" i="5"/>
  <c r="S33" i="5"/>
  <c r="Q33" i="5"/>
  <c r="O33" i="5"/>
  <c r="AA32" i="5"/>
  <c r="Y32" i="5"/>
  <c r="W32" i="5"/>
  <c r="U32" i="5"/>
  <c r="S32" i="5"/>
  <c r="Q32" i="5"/>
  <c r="O32" i="5"/>
  <c r="AA31" i="5"/>
  <c r="Y31" i="5"/>
  <c r="W31" i="5"/>
  <c r="U31" i="5"/>
  <c r="S31" i="5"/>
  <c r="Q31" i="5"/>
  <c r="O31" i="5"/>
  <c r="AA30" i="5"/>
  <c r="Y30" i="5"/>
  <c r="W30" i="5"/>
  <c r="U30" i="5"/>
  <c r="S30" i="5"/>
  <c r="Q30" i="5"/>
  <c r="O30" i="5"/>
  <c r="I30" i="5"/>
  <c r="J30" i="5" s="1"/>
  <c r="G30" i="5"/>
  <c r="F30" i="5"/>
  <c r="AB31" i="5" l="1"/>
  <c r="AC31" i="5" s="1"/>
  <c r="AE31" i="5" s="1"/>
  <c r="AF31" i="5" s="1"/>
  <c r="AB34" i="5"/>
  <c r="AC34" i="5" s="1"/>
  <c r="AE34" i="5" s="1"/>
  <c r="AF34" i="5" s="1"/>
  <c r="AB30" i="5"/>
  <c r="AC30" i="5" s="1"/>
  <c r="AE30" i="5" s="1"/>
  <c r="AF30" i="5" s="1"/>
  <c r="AB33" i="5"/>
  <c r="AC33" i="5" s="1"/>
  <c r="AE33" i="5" s="1"/>
  <c r="AF33" i="5" s="1"/>
  <c r="AB32" i="5"/>
  <c r="AC32" i="5" s="1"/>
  <c r="AE32" i="5" s="1"/>
  <c r="AF32" i="5" s="1"/>
  <c r="K30" i="5"/>
  <c r="AH30" i="5" l="1"/>
  <c r="AI30" i="5" s="1"/>
  <c r="AK30" i="5" s="1"/>
  <c r="AL30" i="5" s="1"/>
  <c r="AM30" i="5" s="1"/>
  <c r="AO30" i="5" l="1"/>
  <c r="AP30" i="5" s="1"/>
  <c r="AQ30" i="5" s="1"/>
  <c r="AR30" i="5" s="1"/>
  <c r="Z449" i="6"/>
  <c r="V449" i="6"/>
  <c r="AD449" i="6" s="1"/>
  <c r="Z448" i="6"/>
  <c r="V448" i="6"/>
  <c r="AD448" i="6" s="1"/>
  <c r="Z447" i="6"/>
  <c r="V447" i="6"/>
  <c r="AD447" i="6" s="1"/>
  <c r="Z446" i="6"/>
  <c r="V446" i="6"/>
  <c r="AD446" i="6" s="1"/>
  <c r="Z445" i="6"/>
  <c r="V445" i="6"/>
  <c r="AD445" i="6" s="1"/>
  <c r="V444" i="6"/>
  <c r="N444" i="6"/>
  <c r="O444" i="6" s="1"/>
  <c r="AD444" i="6" s="1"/>
  <c r="L444" i="6"/>
  <c r="K444" i="6"/>
  <c r="Z131" i="6"/>
  <c r="V131" i="6"/>
  <c r="AD131" i="6" s="1"/>
  <c r="Z130" i="6"/>
  <c r="V130" i="6"/>
  <c r="AD130" i="6" s="1"/>
  <c r="Z129" i="6"/>
  <c r="V129" i="6"/>
  <c r="AD129" i="6" s="1"/>
  <c r="Z128" i="6"/>
  <c r="V128" i="6"/>
  <c r="AD128" i="6" s="1"/>
  <c r="Z127" i="6"/>
  <c r="V127" i="6"/>
  <c r="AD127" i="6" s="1"/>
  <c r="V126" i="6"/>
  <c r="N126" i="6"/>
  <c r="O126" i="6" s="1"/>
  <c r="AD126" i="6" s="1"/>
  <c r="L126" i="6"/>
  <c r="K126" i="6"/>
  <c r="Z125" i="6"/>
  <c r="V125" i="6"/>
  <c r="AD125" i="6" s="1"/>
  <c r="Z124" i="6"/>
  <c r="V124" i="6"/>
  <c r="AD124" i="6" s="1"/>
  <c r="Z123" i="6"/>
  <c r="V123" i="6"/>
  <c r="AD123" i="6" s="1"/>
  <c r="Z122" i="6"/>
  <c r="V122" i="6"/>
  <c r="AD122" i="6" s="1"/>
  <c r="Z121" i="6"/>
  <c r="V121" i="6"/>
  <c r="AD121" i="6" s="1"/>
  <c r="V120" i="6"/>
  <c r="N120" i="6"/>
  <c r="O120" i="6" s="1"/>
  <c r="AD120" i="6" s="1"/>
  <c r="J120" i="6"/>
  <c r="K120" i="6" s="1"/>
  <c r="Z119" i="6"/>
  <c r="V119" i="6"/>
  <c r="AD119" i="6" s="1"/>
  <c r="Z118" i="6"/>
  <c r="V118" i="6"/>
  <c r="AD118" i="6" s="1"/>
  <c r="Z117" i="6"/>
  <c r="V117" i="6"/>
  <c r="AD117" i="6" s="1"/>
  <c r="Z116" i="6"/>
  <c r="V116" i="6"/>
  <c r="AD116" i="6" s="1"/>
  <c r="Z115" i="6"/>
  <c r="V115" i="6"/>
  <c r="AD115" i="6" s="1"/>
  <c r="V114" i="6"/>
  <c r="N114" i="6"/>
  <c r="O114" i="6" s="1"/>
  <c r="L114" i="6"/>
  <c r="K114" i="6"/>
  <c r="V113" i="6"/>
  <c r="V112" i="6"/>
  <c r="V111" i="6"/>
  <c r="V110" i="6"/>
  <c r="V109" i="6"/>
  <c r="V108" i="6"/>
  <c r="N108" i="6"/>
  <c r="O108" i="6" s="1"/>
  <c r="L108" i="6"/>
  <c r="K108" i="6"/>
  <c r="L120" i="6" l="1"/>
  <c r="Z120" i="6" s="1"/>
  <c r="AA120" i="6" s="1"/>
  <c r="AC120" i="6" s="1"/>
  <c r="Z114" i="6"/>
  <c r="Z126" i="6"/>
  <c r="Z108" i="6"/>
  <c r="Z109" i="6" s="1"/>
  <c r="Z110" i="6" s="1"/>
  <c r="Z111" i="6" s="1"/>
  <c r="Z112" i="6" s="1"/>
  <c r="Z113" i="6" s="1"/>
  <c r="AA114" i="6"/>
  <c r="AC114" i="6" s="1"/>
  <c r="Z444" i="6"/>
  <c r="AA444" i="6" s="1"/>
  <c r="AC444" i="6" s="1"/>
  <c r="AA126" i="6"/>
  <c r="AC126" i="6" s="1"/>
  <c r="AE444" i="6"/>
  <c r="AG444" i="6" s="1"/>
  <c r="P444" i="6"/>
  <c r="AE120" i="6"/>
  <c r="AG120" i="6" s="1"/>
  <c r="AD108" i="6"/>
  <c r="P108" i="6"/>
  <c r="AE126" i="6"/>
  <c r="AG126" i="6" s="1"/>
  <c r="P114" i="6"/>
  <c r="AD114" i="6"/>
  <c r="AE114" i="6" s="1"/>
  <c r="AG114" i="6" s="1"/>
  <c r="AH114" i="6" s="1"/>
  <c r="P126" i="6"/>
  <c r="P120" i="6" l="1"/>
  <c r="AH444" i="6"/>
  <c r="AA108" i="6"/>
  <c r="AC108" i="6" s="1"/>
  <c r="AH120" i="6"/>
  <c r="AH126" i="6"/>
  <c r="AD109" i="6"/>
  <c r="AD110" i="6" s="1"/>
  <c r="AD111" i="6" s="1"/>
  <c r="AD112" i="6" s="1"/>
  <c r="AD113" i="6" s="1"/>
  <c r="AE108" i="6" l="1"/>
  <c r="AG108" i="6" s="1"/>
  <c r="AH108" i="6" s="1"/>
  <c r="AA89" i="5" l="1"/>
  <c r="Y89" i="5"/>
  <c r="W89" i="5"/>
  <c r="U89" i="5"/>
  <c r="S89" i="5"/>
  <c r="Q89" i="5"/>
  <c r="O89" i="5"/>
  <c r="AA88" i="5"/>
  <c r="Y88" i="5"/>
  <c r="W88" i="5"/>
  <c r="U88" i="5"/>
  <c r="S88" i="5"/>
  <c r="Q88" i="5"/>
  <c r="O88" i="5"/>
  <c r="AA87" i="5"/>
  <c r="Y87" i="5"/>
  <c r="W87" i="5"/>
  <c r="U87" i="5"/>
  <c r="S87" i="5"/>
  <c r="Q87" i="5"/>
  <c r="O87" i="5"/>
  <c r="AA86" i="5"/>
  <c r="Y86" i="5"/>
  <c r="W86" i="5"/>
  <c r="U86" i="5"/>
  <c r="S86" i="5"/>
  <c r="Q86" i="5"/>
  <c r="O86" i="5"/>
  <c r="AA85" i="5"/>
  <c r="Y85" i="5"/>
  <c r="W85" i="5"/>
  <c r="U85" i="5"/>
  <c r="S85" i="5"/>
  <c r="Q85" i="5"/>
  <c r="O85" i="5"/>
  <c r="I85" i="5"/>
  <c r="J85" i="5" s="1"/>
  <c r="G85" i="5"/>
  <c r="F85" i="5"/>
  <c r="AB86" i="5" l="1"/>
  <c r="AC86" i="5" s="1"/>
  <c r="AE86" i="5" s="1"/>
  <c r="AF86" i="5" s="1"/>
  <c r="AB85" i="5"/>
  <c r="AC85" i="5" s="1"/>
  <c r="AE85" i="5" s="1"/>
  <c r="AF85" i="5" s="1"/>
  <c r="AB87" i="5"/>
  <c r="AC87" i="5" s="1"/>
  <c r="AE87" i="5" s="1"/>
  <c r="AF87" i="5" s="1"/>
  <c r="AB88" i="5"/>
  <c r="AC88" i="5" s="1"/>
  <c r="AE88" i="5" s="1"/>
  <c r="AF88" i="5" s="1"/>
  <c r="AB89" i="5"/>
  <c r="AC89" i="5" s="1"/>
  <c r="AE89" i="5" s="1"/>
  <c r="AF89" i="5" s="1"/>
  <c r="K85" i="5"/>
  <c r="AH85" i="5" l="1"/>
  <c r="AI85" i="5" s="1"/>
  <c r="AK85" i="5" s="1"/>
  <c r="AL85" i="5" s="1"/>
  <c r="AM85" i="5" s="1"/>
  <c r="AO85" i="5" l="1"/>
  <c r="AP85" i="5" s="1"/>
  <c r="AQ85" i="5" s="1"/>
  <c r="AR85" i="5" s="1"/>
  <c r="AA79" i="5" l="1"/>
  <c r="Y79" i="5"/>
  <c r="W79" i="5"/>
  <c r="U79" i="5"/>
  <c r="S79" i="5"/>
  <c r="Q79" i="5"/>
  <c r="O79" i="5"/>
  <c r="AA78" i="5"/>
  <c r="Y78" i="5"/>
  <c r="W78" i="5"/>
  <c r="U78" i="5"/>
  <c r="S78" i="5"/>
  <c r="Q78" i="5"/>
  <c r="O78" i="5"/>
  <c r="AA77" i="5"/>
  <c r="Y77" i="5"/>
  <c r="W77" i="5"/>
  <c r="U77" i="5"/>
  <c r="S77" i="5"/>
  <c r="Q77" i="5"/>
  <c r="O77" i="5"/>
  <c r="AA76" i="5"/>
  <c r="Y76" i="5"/>
  <c r="W76" i="5"/>
  <c r="U76" i="5"/>
  <c r="S76" i="5"/>
  <c r="Q76" i="5"/>
  <c r="O76" i="5"/>
  <c r="AA75" i="5"/>
  <c r="Y75" i="5"/>
  <c r="W75" i="5"/>
  <c r="U75" i="5"/>
  <c r="S75" i="5"/>
  <c r="Q75" i="5"/>
  <c r="O75" i="5"/>
  <c r="I75" i="5"/>
  <c r="J75" i="5" s="1"/>
  <c r="G75" i="5"/>
  <c r="F75" i="5"/>
  <c r="Z383" i="6"/>
  <c r="V383" i="6"/>
  <c r="AD383" i="6" s="1"/>
  <c r="Z382" i="6"/>
  <c r="V382" i="6"/>
  <c r="AD382" i="6" s="1"/>
  <c r="Z381" i="6"/>
  <c r="V381" i="6"/>
  <c r="AD381" i="6" s="1"/>
  <c r="Z380" i="6"/>
  <c r="V380" i="6"/>
  <c r="AD380" i="6" s="1"/>
  <c r="V379" i="6"/>
  <c r="V378" i="6"/>
  <c r="N378" i="6"/>
  <c r="O378" i="6" s="1"/>
  <c r="AD378" i="6" s="1"/>
  <c r="L378" i="6"/>
  <c r="K378" i="6"/>
  <c r="Z377" i="6"/>
  <c r="V377" i="6"/>
  <c r="AD377" i="6" s="1"/>
  <c r="Z376" i="6"/>
  <c r="V376" i="6"/>
  <c r="AD376" i="6" s="1"/>
  <c r="Z375" i="6"/>
  <c r="V375" i="6"/>
  <c r="AD375" i="6" s="1"/>
  <c r="Z374" i="6"/>
  <c r="V374" i="6"/>
  <c r="AD374" i="6" s="1"/>
  <c r="Z373" i="6"/>
  <c r="V373" i="6"/>
  <c r="AD373" i="6" s="1"/>
  <c r="V372" i="6"/>
  <c r="N372" i="6"/>
  <c r="O372" i="6" s="1"/>
  <c r="AD372" i="6" s="1"/>
  <c r="J372" i="6"/>
  <c r="K372" i="6" s="1"/>
  <c r="L372" i="6" l="1"/>
  <c r="AB75" i="5"/>
  <c r="AC75" i="5" s="1"/>
  <c r="AE75" i="5" s="1"/>
  <c r="AF75" i="5" s="1"/>
  <c r="AB79" i="5"/>
  <c r="AC79" i="5" s="1"/>
  <c r="AE79" i="5" s="1"/>
  <c r="AF79" i="5" s="1"/>
  <c r="AB76" i="5"/>
  <c r="AC76" i="5" s="1"/>
  <c r="AE76" i="5" s="1"/>
  <c r="AF76" i="5" s="1"/>
  <c r="AB77" i="5"/>
  <c r="AC77" i="5" s="1"/>
  <c r="AE77" i="5" s="1"/>
  <c r="AF77" i="5" s="1"/>
  <c r="AB78" i="5"/>
  <c r="AC78" i="5" s="1"/>
  <c r="AE78" i="5" s="1"/>
  <c r="AF78" i="5" s="1"/>
  <c r="Z378" i="6"/>
  <c r="P372" i="6"/>
  <c r="Z372" i="6"/>
  <c r="AA372" i="6" s="1"/>
  <c r="AB372" i="6" s="1"/>
  <c r="AC372" i="6" s="1"/>
  <c r="P378" i="6"/>
  <c r="K75" i="5"/>
  <c r="AE372" i="6"/>
  <c r="AF372" i="6" s="1"/>
  <c r="AG372" i="6" s="1"/>
  <c r="Z379" i="6"/>
  <c r="AA378" i="6" s="1"/>
  <c r="AB378" i="6" s="1"/>
  <c r="AC378" i="6" s="1"/>
  <c r="AD379" i="6"/>
  <c r="AE378" i="6" s="1"/>
  <c r="AF378" i="6" s="1"/>
  <c r="AG378" i="6" s="1"/>
  <c r="AH75" i="5" l="1"/>
  <c r="AI75" i="5" s="1"/>
  <c r="AK75" i="5" s="1"/>
  <c r="AL75" i="5" s="1"/>
  <c r="AM75" i="5" s="1"/>
  <c r="AH378" i="6"/>
  <c r="AH372" i="6"/>
  <c r="AO75" i="5" l="1"/>
  <c r="AP75" i="5" s="1"/>
  <c r="AQ75" i="5" s="1"/>
  <c r="AR75" i="5" s="1"/>
  <c r="AA74" i="5"/>
  <c r="Y74" i="5"/>
  <c r="W74" i="5"/>
  <c r="U74" i="5"/>
  <c r="S74" i="5"/>
  <c r="Q74" i="5"/>
  <c r="O74" i="5"/>
  <c r="AA73" i="5"/>
  <c r="Y73" i="5"/>
  <c r="W73" i="5"/>
  <c r="U73" i="5"/>
  <c r="S73" i="5"/>
  <c r="Q73" i="5"/>
  <c r="O73" i="5"/>
  <c r="AA72" i="5"/>
  <c r="Y72" i="5"/>
  <c r="W72" i="5"/>
  <c r="U72" i="5"/>
  <c r="S72" i="5"/>
  <c r="Q72" i="5"/>
  <c r="O72" i="5"/>
  <c r="AA71" i="5"/>
  <c r="Y71" i="5"/>
  <c r="W71" i="5"/>
  <c r="U71" i="5"/>
  <c r="S71" i="5"/>
  <c r="Q71" i="5"/>
  <c r="O71" i="5"/>
  <c r="AA70" i="5"/>
  <c r="Y70" i="5"/>
  <c r="W70" i="5"/>
  <c r="U70" i="5"/>
  <c r="S70" i="5"/>
  <c r="Q70" i="5"/>
  <c r="O70" i="5"/>
  <c r="I70" i="5"/>
  <c r="J70" i="5" s="1"/>
  <c r="G70" i="5"/>
  <c r="F70" i="5"/>
  <c r="AB74" i="5" l="1"/>
  <c r="AC74" i="5" s="1"/>
  <c r="AE74" i="5" s="1"/>
  <c r="AF74" i="5" s="1"/>
  <c r="AB70" i="5"/>
  <c r="AC70" i="5" s="1"/>
  <c r="AE70" i="5" s="1"/>
  <c r="AF70" i="5" s="1"/>
  <c r="AB73" i="5"/>
  <c r="AC73" i="5" s="1"/>
  <c r="AE73" i="5" s="1"/>
  <c r="AF73" i="5" s="1"/>
  <c r="AB72" i="5"/>
  <c r="AC72" i="5" s="1"/>
  <c r="AE72" i="5" s="1"/>
  <c r="AF72" i="5" s="1"/>
  <c r="AB71" i="5"/>
  <c r="AC71" i="5" s="1"/>
  <c r="AE71" i="5" s="1"/>
  <c r="AF71" i="5" s="1"/>
  <c r="K70" i="5"/>
  <c r="AH70" i="5" l="1"/>
  <c r="AI70" i="5" s="1"/>
  <c r="AK70" i="5" s="1"/>
  <c r="AL70" i="5" s="1"/>
  <c r="AM70" i="5" s="1"/>
  <c r="AO70" i="5" l="1"/>
  <c r="AP70" i="5" s="1"/>
  <c r="AQ70" i="5" s="1"/>
  <c r="AR70" i="5" s="1"/>
  <c r="AB39" i="2"/>
  <c r="AA39" i="2" s="1"/>
  <c r="AB38" i="2"/>
  <c r="AA38" i="2" s="1"/>
  <c r="AB37" i="2"/>
  <c r="Z37" i="2" s="1"/>
  <c r="AB36" i="2"/>
  <c r="AA36" i="2" s="1"/>
  <c r="AB35" i="2"/>
  <c r="AA35" i="2" s="1"/>
  <c r="AF34" i="2"/>
  <c r="W39" i="2"/>
  <c r="Y39" i="2" s="1"/>
  <c r="S39" i="2"/>
  <c r="W38" i="2"/>
  <c r="Y38" i="2" s="1"/>
  <c r="S38" i="2"/>
  <c r="W37" i="2"/>
  <c r="X37" i="2" s="1"/>
  <c r="S37" i="2"/>
  <c r="W36" i="2"/>
  <c r="Y36" i="2" s="1"/>
  <c r="W35" i="2"/>
  <c r="X35" i="2" s="1"/>
  <c r="S34" i="2"/>
  <c r="K34" i="2"/>
  <c r="L34" i="2" s="1"/>
  <c r="AB34" i="2" s="1"/>
  <c r="AA34" i="2" s="1"/>
  <c r="I34" i="2"/>
  <c r="H34" i="2"/>
  <c r="Y35" i="2" l="1"/>
  <c r="Z38" i="2"/>
  <c r="AA37" i="2"/>
  <c r="X36" i="2"/>
  <c r="Y37" i="2"/>
  <c r="X38" i="2"/>
  <c r="X39" i="2"/>
  <c r="Z35" i="2"/>
  <c r="Z39" i="2"/>
  <c r="Z36" i="2"/>
  <c r="M34" i="2"/>
  <c r="W34" i="2"/>
  <c r="Y34" i="2" l="1"/>
  <c r="AC34" i="2" s="1"/>
  <c r="AD34" i="2" s="1"/>
  <c r="AG34" i="2" s="1"/>
  <c r="X34" i="2"/>
  <c r="AA99" i="5" l="1"/>
  <c r="Y99" i="5"/>
  <c r="W99" i="5"/>
  <c r="U99" i="5"/>
  <c r="S99" i="5"/>
  <c r="Q99" i="5"/>
  <c r="O99" i="5"/>
  <c r="AA98" i="5"/>
  <c r="Y98" i="5"/>
  <c r="W98" i="5"/>
  <c r="U98" i="5"/>
  <c r="S98" i="5"/>
  <c r="Q98" i="5"/>
  <c r="O98" i="5"/>
  <c r="AA97" i="5"/>
  <c r="Y97" i="5"/>
  <c r="W97" i="5"/>
  <c r="U97" i="5"/>
  <c r="S97" i="5"/>
  <c r="Q97" i="5"/>
  <c r="O97" i="5"/>
  <c r="AA96" i="5"/>
  <c r="Y96" i="5"/>
  <c r="W96" i="5"/>
  <c r="U96" i="5"/>
  <c r="S96" i="5"/>
  <c r="Q96" i="5"/>
  <c r="O96" i="5"/>
  <c r="AA95" i="5"/>
  <c r="Y95" i="5"/>
  <c r="W95" i="5"/>
  <c r="U95" i="5"/>
  <c r="S95" i="5"/>
  <c r="Q95" i="5"/>
  <c r="O95" i="5"/>
  <c r="I95" i="5"/>
  <c r="J95" i="5" s="1"/>
  <c r="G95" i="5"/>
  <c r="F95" i="5"/>
  <c r="AA94" i="5"/>
  <c r="Y94" i="5"/>
  <c r="W94" i="5"/>
  <c r="U94" i="5"/>
  <c r="S94" i="5"/>
  <c r="Q94" i="5"/>
  <c r="O94" i="5"/>
  <c r="AA93" i="5"/>
  <c r="Y93" i="5"/>
  <c r="W93" i="5"/>
  <c r="U93" i="5"/>
  <c r="S93" i="5"/>
  <c r="Q93" i="5"/>
  <c r="O93" i="5"/>
  <c r="AA92" i="5"/>
  <c r="Y92" i="5"/>
  <c r="W92" i="5"/>
  <c r="U92" i="5"/>
  <c r="S92" i="5"/>
  <c r="Q92" i="5"/>
  <c r="O92" i="5"/>
  <c r="AA91" i="5"/>
  <c r="Y91" i="5"/>
  <c r="W91" i="5"/>
  <c r="U91" i="5"/>
  <c r="S91" i="5"/>
  <c r="Q91" i="5"/>
  <c r="O91" i="5"/>
  <c r="AA90" i="5"/>
  <c r="Y90" i="5"/>
  <c r="W90" i="5"/>
  <c r="U90" i="5"/>
  <c r="S90" i="5"/>
  <c r="Q90" i="5"/>
  <c r="O90" i="5"/>
  <c r="I90" i="5"/>
  <c r="J90" i="5" s="1"/>
  <c r="G90" i="5"/>
  <c r="F90" i="5"/>
  <c r="AB92" i="5" l="1"/>
  <c r="AC92" i="5" s="1"/>
  <c r="AE92" i="5" s="1"/>
  <c r="AF92" i="5" s="1"/>
  <c r="AB93" i="5"/>
  <c r="AC93" i="5" s="1"/>
  <c r="AE93" i="5" s="1"/>
  <c r="AF93" i="5" s="1"/>
  <c r="AB94" i="5"/>
  <c r="AC94" i="5" s="1"/>
  <c r="AE94" i="5" s="1"/>
  <c r="AF94" i="5" s="1"/>
  <c r="AB96" i="5"/>
  <c r="AC96" i="5" s="1"/>
  <c r="AE96" i="5" s="1"/>
  <c r="AF96" i="5" s="1"/>
  <c r="AB99" i="5"/>
  <c r="AC99" i="5" s="1"/>
  <c r="AE99" i="5" s="1"/>
  <c r="AF99" i="5" s="1"/>
  <c r="AB91" i="5"/>
  <c r="AC91" i="5" s="1"/>
  <c r="AE91" i="5" s="1"/>
  <c r="AF91" i="5" s="1"/>
  <c r="AB95" i="5"/>
  <c r="AC95" i="5" s="1"/>
  <c r="AE95" i="5" s="1"/>
  <c r="AF95" i="5" s="1"/>
  <c r="AB90" i="5"/>
  <c r="AC90" i="5" s="1"/>
  <c r="AE90" i="5" s="1"/>
  <c r="AF90" i="5" s="1"/>
  <c r="AB97" i="5"/>
  <c r="AC97" i="5" s="1"/>
  <c r="AE97" i="5" s="1"/>
  <c r="AF97" i="5" s="1"/>
  <c r="AB98" i="5"/>
  <c r="AC98" i="5" s="1"/>
  <c r="AE98" i="5" s="1"/>
  <c r="AF98" i="5" s="1"/>
  <c r="K95" i="5"/>
  <c r="K90" i="5"/>
  <c r="AH95" i="5" l="1"/>
  <c r="AI95" i="5" s="1"/>
  <c r="AO95" i="5" s="1"/>
  <c r="AP95" i="5" s="1"/>
  <c r="AQ95" i="5" s="1"/>
  <c r="AH90" i="5"/>
  <c r="AI90" i="5" s="1"/>
  <c r="AO90" i="5" s="1"/>
  <c r="AP90" i="5" s="1"/>
  <c r="AQ90" i="5" s="1"/>
  <c r="AK95" i="5" l="1"/>
  <c r="AL95" i="5" s="1"/>
  <c r="AM95" i="5" s="1"/>
  <c r="AR95" i="5" s="1"/>
  <c r="AK90" i="5"/>
  <c r="AL90" i="5" s="1"/>
  <c r="AM90" i="5" s="1"/>
  <c r="AR90" i="5" s="1"/>
  <c r="AA64" i="5" l="1"/>
  <c r="Y64" i="5"/>
  <c r="W64" i="5"/>
  <c r="U64" i="5"/>
  <c r="S64" i="5"/>
  <c r="Q64" i="5"/>
  <c r="O64" i="5"/>
  <c r="AA63" i="5"/>
  <c r="Y63" i="5"/>
  <c r="W63" i="5"/>
  <c r="U63" i="5"/>
  <c r="S63" i="5"/>
  <c r="Q63" i="5"/>
  <c r="O63" i="5"/>
  <c r="AA62" i="5"/>
  <c r="Y62" i="5"/>
  <c r="W62" i="5"/>
  <c r="U62" i="5"/>
  <c r="S62" i="5"/>
  <c r="Q62" i="5"/>
  <c r="O62" i="5"/>
  <c r="AA61" i="5"/>
  <c r="Y61" i="5"/>
  <c r="W61" i="5"/>
  <c r="U61" i="5"/>
  <c r="S61" i="5"/>
  <c r="Q61" i="5"/>
  <c r="O61" i="5"/>
  <c r="AA60" i="5"/>
  <c r="Y60" i="5"/>
  <c r="W60" i="5"/>
  <c r="U60" i="5"/>
  <c r="S60" i="5"/>
  <c r="Q60" i="5"/>
  <c r="O60" i="5"/>
  <c r="I60" i="5"/>
  <c r="J60" i="5" s="1"/>
  <c r="G60" i="5"/>
  <c r="F60" i="5"/>
  <c r="AA59" i="5"/>
  <c r="Y59" i="5"/>
  <c r="W59" i="5"/>
  <c r="U59" i="5"/>
  <c r="S59" i="5"/>
  <c r="Q59" i="5"/>
  <c r="O59" i="5"/>
  <c r="AA58" i="5"/>
  <c r="Y58" i="5"/>
  <c r="W58" i="5"/>
  <c r="U58" i="5"/>
  <c r="S58" i="5"/>
  <c r="Q58" i="5"/>
  <c r="O58" i="5"/>
  <c r="AA57" i="5"/>
  <c r="Y57" i="5"/>
  <c r="W57" i="5"/>
  <c r="U57" i="5"/>
  <c r="S57" i="5"/>
  <c r="Q57" i="5"/>
  <c r="O57" i="5"/>
  <c r="AA56" i="5"/>
  <c r="Y56" i="5"/>
  <c r="W56" i="5"/>
  <c r="U56" i="5"/>
  <c r="S56" i="5"/>
  <c r="Q56" i="5"/>
  <c r="O56" i="5"/>
  <c r="AA55" i="5"/>
  <c r="Y55" i="5"/>
  <c r="W55" i="5"/>
  <c r="U55" i="5"/>
  <c r="S55" i="5"/>
  <c r="Q55" i="5"/>
  <c r="O55" i="5"/>
  <c r="I55" i="5"/>
  <c r="J55" i="5" s="1"/>
  <c r="G55" i="5"/>
  <c r="F55" i="5"/>
  <c r="AA54" i="5"/>
  <c r="Y54" i="5"/>
  <c r="W54" i="5"/>
  <c r="U54" i="5"/>
  <c r="S54" i="5"/>
  <c r="Q54" i="5"/>
  <c r="O54" i="5"/>
  <c r="AA53" i="5"/>
  <c r="Y53" i="5"/>
  <c r="W53" i="5"/>
  <c r="U53" i="5"/>
  <c r="S53" i="5"/>
  <c r="Q53" i="5"/>
  <c r="O53" i="5"/>
  <c r="AA52" i="5"/>
  <c r="Y52" i="5"/>
  <c r="W52" i="5"/>
  <c r="U52" i="5"/>
  <c r="S52" i="5"/>
  <c r="Q52" i="5"/>
  <c r="O52" i="5"/>
  <c r="AA51" i="5"/>
  <c r="Y51" i="5"/>
  <c r="W51" i="5"/>
  <c r="U51" i="5"/>
  <c r="S51" i="5"/>
  <c r="Q51" i="5"/>
  <c r="O51" i="5"/>
  <c r="AA50" i="5"/>
  <c r="Y50" i="5"/>
  <c r="W50" i="5"/>
  <c r="U50" i="5"/>
  <c r="S50" i="5"/>
  <c r="Q50" i="5"/>
  <c r="O50" i="5"/>
  <c r="I50" i="5"/>
  <c r="J50" i="5" s="1"/>
  <c r="G50" i="5"/>
  <c r="F50" i="5"/>
  <c r="AB57" i="5" l="1"/>
  <c r="AC57" i="5" s="1"/>
  <c r="AE57" i="5" s="1"/>
  <c r="AF57" i="5" s="1"/>
  <c r="AB58" i="5"/>
  <c r="AC58" i="5" s="1"/>
  <c r="AE58" i="5" s="1"/>
  <c r="AF58" i="5" s="1"/>
  <c r="AB59" i="5"/>
  <c r="AC59" i="5" s="1"/>
  <c r="AE59" i="5" s="1"/>
  <c r="AF59" i="5" s="1"/>
  <c r="AB51" i="5"/>
  <c r="AC51" i="5" s="1"/>
  <c r="AE51" i="5" s="1"/>
  <c r="AF51" i="5" s="1"/>
  <c r="AB54" i="5"/>
  <c r="AC54" i="5" s="1"/>
  <c r="AE54" i="5" s="1"/>
  <c r="AF54" i="5" s="1"/>
  <c r="AB61" i="5"/>
  <c r="AC61" i="5" s="1"/>
  <c r="AE61" i="5" s="1"/>
  <c r="AF61" i="5" s="1"/>
  <c r="AB64" i="5"/>
  <c r="AC64" i="5" s="1"/>
  <c r="AE64" i="5" s="1"/>
  <c r="AF64" i="5" s="1"/>
  <c r="AB56" i="5"/>
  <c r="AC56" i="5" s="1"/>
  <c r="AE56" i="5" s="1"/>
  <c r="AF56" i="5" s="1"/>
  <c r="AB60" i="5"/>
  <c r="AC60" i="5" s="1"/>
  <c r="AE60" i="5" s="1"/>
  <c r="AF60" i="5" s="1"/>
  <c r="AB50" i="5"/>
  <c r="AC50" i="5" s="1"/>
  <c r="AE50" i="5" s="1"/>
  <c r="AF50" i="5" s="1"/>
  <c r="AB53" i="5"/>
  <c r="AC53" i="5" s="1"/>
  <c r="AE53" i="5" s="1"/>
  <c r="AF53" i="5" s="1"/>
  <c r="AB52" i="5"/>
  <c r="AC52" i="5" s="1"/>
  <c r="AE52" i="5" s="1"/>
  <c r="AF52" i="5" s="1"/>
  <c r="AB55" i="5"/>
  <c r="AC55" i="5" s="1"/>
  <c r="AE55" i="5" s="1"/>
  <c r="AF55" i="5" s="1"/>
  <c r="AB62" i="5"/>
  <c r="AC62" i="5" s="1"/>
  <c r="AE62" i="5" s="1"/>
  <c r="AF62" i="5" s="1"/>
  <c r="AB63" i="5"/>
  <c r="AC63" i="5" s="1"/>
  <c r="AE63" i="5" s="1"/>
  <c r="AF63" i="5" s="1"/>
  <c r="K55" i="5"/>
  <c r="K60" i="5"/>
  <c r="K50" i="5"/>
  <c r="AH50" i="5" l="1"/>
  <c r="AI50" i="5" s="1"/>
  <c r="AK50" i="5" s="1"/>
  <c r="AL50" i="5" s="1"/>
  <c r="AM50" i="5" s="1"/>
  <c r="AH60" i="5"/>
  <c r="AI60" i="5" s="1"/>
  <c r="AK60" i="5" s="1"/>
  <c r="AL60" i="5" s="1"/>
  <c r="AM60" i="5" s="1"/>
  <c r="AH55" i="5"/>
  <c r="AI55" i="5" s="1"/>
  <c r="AO55" i="5" s="1"/>
  <c r="AP55" i="5" s="1"/>
  <c r="AQ55" i="5" s="1"/>
  <c r="AO60" i="5" l="1"/>
  <c r="AP60" i="5" s="1"/>
  <c r="AQ60" i="5" s="1"/>
  <c r="AR60" i="5" s="1"/>
  <c r="AO50" i="5"/>
  <c r="AP50" i="5" s="1"/>
  <c r="AQ50" i="5" s="1"/>
  <c r="AR50" i="5" s="1"/>
  <c r="AK55" i="5"/>
  <c r="AL55" i="5" s="1"/>
  <c r="AM55" i="5" s="1"/>
  <c r="AR55" i="5" s="1"/>
  <c r="AA29" i="5" l="1"/>
  <c r="Y29" i="5"/>
  <c r="W29" i="5"/>
  <c r="U29" i="5"/>
  <c r="S29" i="5"/>
  <c r="Q29" i="5"/>
  <c r="O29" i="5"/>
  <c r="AA28" i="5"/>
  <c r="Y28" i="5"/>
  <c r="W28" i="5"/>
  <c r="U28" i="5"/>
  <c r="S28" i="5"/>
  <c r="Q28" i="5"/>
  <c r="O28" i="5"/>
  <c r="AA27" i="5"/>
  <c r="Y27" i="5"/>
  <c r="W27" i="5"/>
  <c r="U27" i="5"/>
  <c r="S27" i="5"/>
  <c r="Q27" i="5"/>
  <c r="O27" i="5"/>
  <c r="AA26" i="5"/>
  <c r="Y26" i="5"/>
  <c r="W26" i="5"/>
  <c r="U26" i="5"/>
  <c r="S26" i="5"/>
  <c r="Q26" i="5"/>
  <c r="O26" i="5"/>
  <c r="AA25" i="5"/>
  <c r="Y25" i="5"/>
  <c r="W25" i="5"/>
  <c r="U25" i="5"/>
  <c r="S25" i="5"/>
  <c r="Q25" i="5"/>
  <c r="O25" i="5"/>
  <c r="I25" i="5"/>
  <c r="J25" i="5" s="1"/>
  <c r="G25" i="5"/>
  <c r="F25" i="5"/>
  <c r="AB26" i="5" l="1"/>
  <c r="AC26" i="5" s="1"/>
  <c r="AE26" i="5" s="1"/>
  <c r="AF26" i="5" s="1"/>
  <c r="AB27" i="5"/>
  <c r="AC27" i="5" s="1"/>
  <c r="AE27" i="5" s="1"/>
  <c r="AF27" i="5" s="1"/>
  <c r="AB28" i="5"/>
  <c r="AC28" i="5" s="1"/>
  <c r="AE28" i="5" s="1"/>
  <c r="AF28" i="5" s="1"/>
  <c r="AB25" i="5"/>
  <c r="AC25" i="5" s="1"/>
  <c r="AE25" i="5" s="1"/>
  <c r="AF25" i="5" s="1"/>
  <c r="AB29" i="5"/>
  <c r="AC29" i="5" s="1"/>
  <c r="AE29" i="5" s="1"/>
  <c r="AF29" i="5" s="1"/>
  <c r="K25" i="5"/>
  <c r="AH25" i="5" l="1"/>
  <c r="AI25" i="5" s="1"/>
  <c r="AK25" i="5" s="1"/>
  <c r="AL25" i="5" s="1"/>
  <c r="AM25" i="5" s="1"/>
  <c r="AO25" i="5" l="1"/>
  <c r="AP25" i="5" s="1"/>
  <c r="AQ25" i="5" s="1"/>
  <c r="AR25" i="5" s="1"/>
  <c r="Z455" i="6" l="1"/>
  <c r="V455" i="6"/>
  <c r="AD455" i="6" s="1"/>
  <c r="Z454" i="6"/>
  <c r="V454" i="6"/>
  <c r="AD454" i="6" s="1"/>
  <c r="Z453" i="6"/>
  <c r="V453" i="6"/>
  <c r="AD453" i="6" s="1"/>
  <c r="Z452" i="6"/>
  <c r="V452" i="6"/>
  <c r="AD452" i="6" s="1"/>
  <c r="V451" i="6"/>
  <c r="V450" i="6"/>
  <c r="N450" i="6"/>
  <c r="O450" i="6" s="1"/>
  <c r="L450" i="6"/>
  <c r="K450" i="6"/>
  <c r="Z450" i="6" l="1"/>
  <c r="Z451" i="6" s="1"/>
  <c r="P450" i="6"/>
  <c r="AD450" i="6"/>
  <c r="AD451" i="6" s="1"/>
  <c r="AA450" i="6" l="1"/>
  <c r="AC450" i="6" s="1"/>
  <c r="AE450" i="6"/>
  <c r="AG450" i="6" s="1"/>
  <c r="AH450" i="6" l="1"/>
  <c r="AA24" i="5"/>
  <c r="Y24" i="5"/>
  <c r="W24" i="5"/>
  <c r="U24" i="5"/>
  <c r="S24" i="5"/>
  <c r="Q24" i="5"/>
  <c r="O24" i="5"/>
  <c r="AA23" i="5"/>
  <c r="Y23" i="5"/>
  <c r="W23" i="5"/>
  <c r="U23" i="5"/>
  <c r="S23" i="5"/>
  <c r="Q23" i="5"/>
  <c r="O23" i="5"/>
  <c r="AA22" i="5"/>
  <c r="Y22" i="5"/>
  <c r="W22" i="5"/>
  <c r="U22" i="5"/>
  <c r="S22" i="5"/>
  <c r="Q22" i="5"/>
  <c r="O22" i="5"/>
  <c r="AA21" i="5"/>
  <c r="Y21" i="5"/>
  <c r="W21" i="5"/>
  <c r="U21" i="5"/>
  <c r="S21" i="5"/>
  <c r="Q21" i="5"/>
  <c r="O21" i="5"/>
  <c r="AA20" i="5"/>
  <c r="Y20" i="5"/>
  <c r="W20" i="5"/>
  <c r="U20" i="5"/>
  <c r="S20" i="5"/>
  <c r="Q20" i="5"/>
  <c r="O20" i="5"/>
  <c r="I20" i="5"/>
  <c r="J20" i="5" s="1"/>
  <c r="G20" i="5"/>
  <c r="F20" i="5"/>
  <c r="AB20" i="5" l="1"/>
  <c r="AC20" i="5" s="1"/>
  <c r="AE20" i="5" s="1"/>
  <c r="AF20" i="5" s="1"/>
  <c r="AB23" i="5"/>
  <c r="AC23" i="5" s="1"/>
  <c r="AE23" i="5" s="1"/>
  <c r="AF23" i="5" s="1"/>
  <c r="AB22" i="5"/>
  <c r="AC22" i="5" s="1"/>
  <c r="AE22" i="5" s="1"/>
  <c r="AF22" i="5" s="1"/>
  <c r="AB21" i="5"/>
  <c r="AC21" i="5" s="1"/>
  <c r="AE21" i="5" s="1"/>
  <c r="AF21" i="5" s="1"/>
  <c r="AB24" i="5"/>
  <c r="AC24" i="5" s="1"/>
  <c r="AE24" i="5" s="1"/>
  <c r="AF24" i="5" s="1"/>
  <c r="K20" i="5"/>
  <c r="AH20" i="5" l="1"/>
  <c r="AI20" i="5" s="1"/>
  <c r="AK20" i="5" s="1"/>
  <c r="AL20" i="5" s="1"/>
  <c r="AM20" i="5" s="1"/>
  <c r="AO20" i="5" l="1"/>
  <c r="AP20" i="5" s="1"/>
  <c r="AQ20" i="5" s="1"/>
  <c r="AR20" i="5" s="1"/>
  <c r="AA19" i="5"/>
  <c r="Y19" i="5"/>
  <c r="W19" i="5"/>
  <c r="U19" i="5"/>
  <c r="S19" i="5"/>
  <c r="Q19" i="5"/>
  <c r="O19" i="5"/>
  <c r="AA18" i="5"/>
  <c r="Y18" i="5"/>
  <c r="W18" i="5"/>
  <c r="U18" i="5"/>
  <c r="S18" i="5"/>
  <c r="Q18" i="5"/>
  <c r="O18" i="5"/>
  <c r="AA17" i="5"/>
  <c r="Y17" i="5"/>
  <c r="W17" i="5"/>
  <c r="U17" i="5"/>
  <c r="S17" i="5"/>
  <c r="Q17" i="5"/>
  <c r="O17" i="5"/>
  <c r="AA16" i="5"/>
  <c r="Y16" i="5"/>
  <c r="W16" i="5"/>
  <c r="U16" i="5"/>
  <c r="S16" i="5"/>
  <c r="Q16" i="5"/>
  <c r="O16" i="5"/>
  <c r="AA15" i="5"/>
  <c r="Y15" i="5"/>
  <c r="W15" i="5"/>
  <c r="U15" i="5"/>
  <c r="S15" i="5"/>
  <c r="Q15" i="5"/>
  <c r="O15" i="5"/>
  <c r="I15" i="5"/>
  <c r="J15" i="5" s="1"/>
  <c r="G15" i="5"/>
  <c r="F15" i="5"/>
  <c r="AB16" i="5" l="1"/>
  <c r="AC16" i="5" s="1"/>
  <c r="AE16" i="5" s="1"/>
  <c r="AF16" i="5" s="1"/>
  <c r="AB15" i="5"/>
  <c r="AC15" i="5" s="1"/>
  <c r="AE15" i="5" s="1"/>
  <c r="AF15" i="5" s="1"/>
  <c r="AB19" i="5"/>
  <c r="AC19" i="5" s="1"/>
  <c r="AE19" i="5" s="1"/>
  <c r="AF19" i="5" s="1"/>
  <c r="AB18" i="5"/>
  <c r="AC18" i="5" s="1"/>
  <c r="AE18" i="5" s="1"/>
  <c r="AF18" i="5" s="1"/>
  <c r="AB17" i="5"/>
  <c r="AC17" i="5" s="1"/>
  <c r="AE17" i="5" s="1"/>
  <c r="AF17" i="5" s="1"/>
  <c r="K15" i="5"/>
  <c r="AH15" i="5" l="1"/>
  <c r="AI15" i="5" s="1"/>
  <c r="AK15" i="5" l="1"/>
  <c r="AL15" i="5" s="1"/>
  <c r="AM15" i="5" s="1"/>
  <c r="AO15" i="5"/>
  <c r="AP15" i="5" s="1"/>
  <c r="AQ15" i="5" s="1"/>
  <c r="AR15" i="5" l="1"/>
  <c r="V29" i="6" l="1"/>
  <c r="V28" i="6"/>
  <c r="V27" i="6"/>
  <c r="V26" i="6"/>
  <c r="V25" i="6"/>
  <c r="V24" i="6"/>
  <c r="V23" i="6"/>
  <c r="V22" i="6"/>
  <c r="V21" i="6"/>
  <c r="V18" i="6"/>
  <c r="V17" i="6"/>
  <c r="V16" i="6"/>
  <c r="V13" i="6"/>
  <c r="V12" i="6"/>
  <c r="V11" i="6"/>
  <c r="V10" i="6"/>
  <c r="V9" i="6"/>
  <c r="V8" i="6"/>
  <c r="V7" i="6"/>
  <c r="V6" i="6"/>
  <c r="Z107" i="6" l="1"/>
  <c r="V107" i="6"/>
  <c r="AD107" i="6" s="1"/>
  <c r="Z106" i="6"/>
  <c r="V106" i="6"/>
  <c r="AD106" i="6" s="1"/>
  <c r="Z105" i="6"/>
  <c r="V105" i="6"/>
  <c r="AD105" i="6" s="1"/>
  <c r="Z104" i="6"/>
  <c r="V104" i="6"/>
  <c r="AD104" i="6" s="1"/>
  <c r="V103" i="6"/>
  <c r="V102" i="6"/>
  <c r="N102" i="6"/>
  <c r="O102" i="6" s="1"/>
  <c r="AD102" i="6" s="1"/>
  <c r="L102" i="6"/>
  <c r="K102" i="6"/>
  <c r="Z101" i="6"/>
  <c r="V101" i="6"/>
  <c r="AD101" i="6" s="1"/>
  <c r="Z100" i="6"/>
  <c r="V100" i="6"/>
  <c r="AD100" i="6" s="1"/>
  <c r="Z99" i="6"/>
  <c r="V99" i="6"/>
  <c r="AD99" i="6" s="1"/>
  <c r="Z98" i="6"/>
  <c r="V98" i="6"/>
  <c r="AD98" i="6" s="1"/>
  <c r="V97" i="6"/>
  <c r="V96" i="6"/>
  <c r="N96" i="6"/>
  <c r="O96" i="6" s="1"/>
  <c r="AD96" i="6" s="1"/>
  <c r="L96" i="6"/>
  <c r="K96" i="6"/>
  <c r="Z95" i="6"/>
  <c r="V95" i="6"/>
  <c r="AD95" i="6" s="1"/>
  <c r="Z94" i="6"/>
  <c r="V94" i="6"/>
  <c r="AD94" i="6" s="1"/>
  <c r="Z93" i="6"/>
  <c r="V93" i="6"/>
  <c r="AD93" i="6" s="1"/>
  <c r="Z92" i="6"/>
  <c r="V92" i="6"/>
  <c r="AD92" i="6" s="1"/>
  <c r="AD91" i="6"/>
  <c r="Z91" i="6"/>
  <c r="V90" i="6"/>
  <c r="N90" i="6"/>
  <c r="O90" i="6" s="1"/>
  <c r="AD90" i="6" s="1"/>
  <c r="L90" i="6"/>
  <c r="K90" i="6"/>
  <c r="Z89" i="6"/>
  <c r="V89" i="6"/>
  <c r="AD89" i="6" s="1"/>
  <c r="Z88" i="6"/>
  <c r="V88" i="6"/>
  <c r="AD88" i="6" s="1"/>
  <c r="Z87" i="6"/>
  <c r="V87" i="6"/>
  <c r="AD87" i="6" s="1"/>
  <c r="Z86" i="6"/>
  <c r="V86" i="6"/>
  <c r="AD86" i="6" s="1"/>
  <c r="V85" i="6"/>
  <c r="V84" i="6"/>
  <c r="N84" i="6"/>
  <c r="O84" i="6" s="1"/>
  <c r="AD84" i="6" s="1"/>
  <c r="L84" i="6"/>
  <c r="K84" i="6"/>
  <c r="AD97" i="6" l="1"/>
  <c r="AE96" i="6" s="1"/>
  <c r="AG96" i="6" s="1"/>
  <c r="AD85" i="6"/>
  <c r="Z96" i="6"/>
  <c r="Z97" i="6" s="1"/>
  <c r="Z102" i="6"/>
  <c r="AD103" i="6"/>
  <c r="AE102" i="6" s="1"/>
  <c r="AG102" i="6" s="1"/>
  <c r="Z84" i="6"/>
  <c r="Z85" i="6" s="1"/>
  <c r="AA96" i="6"/>
  <c r="AC96" i="6" s="1"/>
  <c r="P90" i="6"/>
  <c r="P96" i="6"/>
  <c r="P102" i="6"/>
  <c r="AE84" i="6"/>
  <c r="AG84" i="6" s="1"/>
  <c r="AE90" i="6"/>
  <c r="AG90" i="6" s="1"/>
  <c r="Z90" i="6"/>
  <c r="AA90" i="6" s="1"/>
  <c r="AC90" i="6" s="1"/>
  <c r="P84" i="6"/>
  <c r="AA84" i="6" l="1"/>
  <c r="AC84" i="6" s="1"/>
  <c r="AH90" i="6"/>
  <c r="Z103" i="6"/>
  <c r="AA102" i="6" s="1"/>
  <c r="AC102" i="6" s="1"/>
  <c r="AH96" i="6"/>
  <c r="AH84" i="6"/>
  <c r="AH102" i="6" l="1"/>
  <c r="AA9" i="5"/>
  <c r="Y9" i="5"/>
  <c r="W9" i="5"/>
  <c r="U9" i="5"/>
  <c r="S9" i="5"/>
  <c r="Q9" i="5"/>
  <c r="O9" i="5"/>
  <c r="AB9" i="5" s="1"/>
  <c r="AC9" i="5" s="1"/>
  <c r="AE9" i="5" s="1"/>
  <c r="AF9" i="5" s="1"/>
  <c r="AA8" i="5"/>
  <c r="Y8" i="5"/>
  <c r="W8" i="5"/>
  <c r="U8" i="5"/>
  <c r="S8" i="5"/>
  <c r="Q8" i="5"/>
  <c r="O8" i="5"/>
  <c r="AA7" i="5"/>
  <c r="Y7" i="5"/>
  <c r="W7" i="5"/>
  <c r="U7" i="5"/>
  <c r="S7" i="5"/>
  <c r="Q7" i="5"/>
  <c r="O7" i="5"/>
  <c r="AA6" i="5"/>
  <c r="Y6" i="5"/>
  <c r="W6" i="5"/>
  <c r="U6" i="5"/>
  <c r="S6" i="5"/>
  <c r="Q6" i="5"/>
  <c r="O6" i="5"/>
  <c r="AA5" i="5"/>
  <c r="Y5" i="5"/>
  <c r="W5" i="5"/>
  <c r="U5" i="5"/>
  <c r="S5" i="5"/>
  <c r="Q5" i="5"/>
  <c r="O5" i="5"/>
  <c r="I5" i="5"/>
  <c r="J5" i="5" s="1"/>
  <c r="G5" i="5"/>
  <c r="F5" i="5"/>
  <c r="AB5" i="5" l="1"/>
  <c r="AC5" i="5" s="1"/>
  <c r="AE5" i="5" s="1"/>
  <c r="AF5" i="5" s="1"/>
  <c r="AB6" i="5"/>
  <c r="AC6" i="5" s="1"/>
  <c r="AE6" i="5" s="1"/>
  <c r="AF6" i="5" s="1"/>
  <c r="AB7" i="5"/>
  <c r="AC7" i="5" s="1"/>
  <c r="AE7" i="5" s="1"/>
  <c r="AF7" i="5" s="1"/>
  <c r="AB8" i="5"/>
  <c r="AC8" i="5" s="1"/>
  <c r="AE8" i="5" s="1"/>
  <c r="AF8" i="5" s="1"/>
  <c r="K5" i="5"/>
  <c r="AH5" i="5" l="1"/>
  <c r="AI5" i="5" s="1"/>
  <c r="AK5" i="5" s="1"/>
  <c r="AL5" i="5" s="1"/>
  <c r="AM5" i="5" s="1"/>
  <c r="AO5" i="5" l="1"/>
  <c r="AP5" i="5" s="1"/>
  <c r="AQ5" i="5" s="1"/>
  <c r="AR5" i="5" s="1"/>
  <c r="Z29" i="6" l="1"/>
  <c r="AD29" i="6"/>
  <c r="Z28" i="6"/>
  <c r="AD28" i="6"/>
  <c r="Z27" i="6"/>
  <c r="AD27" i="6"/>
  <c r="N24" i="6"/>
  <c r="O24" i="6" s="1"/>
  <c r="AD24" i="6" s="1"/>
  <c r="AD25" i="6" s="1"/>
  <c r="AD26" i="6" s="1"/>
  <c r="L24" i="6"/>
  <c r="K24" i="6"/>
  <c r="Z23" i="6"/>
  <c r="AD23" i="6"/>
  <c r="Z22" i="6"/>
  <c r="AD22" i="6"/>
  <c r="Z21" i="6"/>
  <c r="AD21" i="6"/>
  <c r="Z20" i="6"/>
  <c r="AD20" i="6"/>
  <c r="N18" i="6"/>
  <c r="O18" i="6" s="1"/>
  <c r="AD18" i="6" s="1"/>
  <c r="AD19" i="6" s="1"/>
  <c r="L18" i="6"/>
  <c r="K18" i="6"/>
  <c r="Z17" i="6"/>
  <c r="AD17" i="6"/>
  <c r="Z16" i="6"/>
  <c r="AD16" i="6"/>
  <c r="Z15" i="6"/>
  <c r="AD15" i="6"/>
  <c r="AD14" i="6"/>
  <c r="N12" i="6"/>
  <c r="O12" i="6" s="1"/>
  <c r="L12" i="6"/>
  <c r="K12" i="6"/>
  <c r="Z11" i="6"/>
  <c r="AD11" i="6"/>
  <c r="Z10" i="6"/>
  <c r="AD10" i="6"/>
  <c r="Z9" i="6"/>
  <c r="AD9" i="6"/>
  <c r="N6" i="6"/>
  <c r="O6" i="6" s="1"/>
  <c r="AD6" i="6" s="1"/>
  <c r="L6" i="6"/>
  <c r="K6" i="6"/>
  <c r="P18" i="6" l="1"/>
  <c r="P24" i="6"/>
  <c r="Z13" i="6"/>
  <c r="Z14" i="6" s="1"/>
  <c r="P6" i="6"/>
  <c r="AD12" i="6"/>
  <c r="AD13" i="6" s="1"/>
  <c r="Z6" i="6"/>
  <c r="Z7" i="6" s="1"/>
  <c r="Z8" i="6" s="1"/>
  <c r="AA6" i="6" s="1"/>
  <c r="AB6" i="6" s="1"/>
  <c r="AC6" i="6" s="1"/>
  <c r="Z18" i="6"/>
  <c r="Z24" i="6"/>
  <c r="P12" i="6"/>
  <c r="AD7" i="6"/>
  <c r="AD8" i="6" s="1"/>
  <c r="AE6" i="6" s="1"/>
  <c r="AF6" i="6" s="1"/>
  <c r="AG6" i="6" s="1"/>
  <c r="Z19" i="6"/>
  <c r="AE18" i="6"/>
  <c r="AF18" i="6" s="1"/>
  <c r="AG18" i="6" s="1"/>
  <c r="AE24" i="6"/>
  <c r="AF24" i="6" s="1"/>
  <c r="AG24" i="6" s="1"/>
  <c r="Z12" i="6"/>
  <c r="Z25" i="6" l="1"/>
  <c r="Z26" i="6" s="1"/>
  <c r="AA24" i="6" s="1"/>
  <c r="AB24" i="6" s="1"/>
  <c r="AC24" i="6" s="1"/>
  <c r="AA12" i="6"/>
  <c r="AB12" i="6" s="1"/>
  <c r="AC12" i="6" s="1"/>
  <c r="AE12" i="6"/>
  <c r="AF12" i="6" s="1"/>
  <c r="AG12" i="6" s="1"/>
  <c r="AH6" i="6"/>
  <c r="AA18" i="6"/>
  <c r="AB18" i="6" s="1"/>
  <c r="AC18" i="6" s="1"/>
  <c r="AH12" i="6" l="1"/>
  <c r="AH24" i="6"/>
  <c r="AH18" i="6"/>
  <c r="S33" i="2"/>
  <c r="P33" i="2"/>
  <c r="S32" i="2"/>
  <c r="P32" i="2"/>
  <c r="S31" i="2"/>
  <c r="P31" i="2"/>
  <c r="S30" i="2"/>
  <c r="P30" i="2"/>
  <c r="S29" i="2"/>
  <c r="P29" i="2"/>
  <c r="AF28" i="2"/>
  <c r="S28" i="2"/>
  <c r="P28" i="2"/>
  <c r="AB29" i="2" s="1"/>
  <c r="K28" i="2"/>
  <c r="L28" i="2" s="1"/>
  <c r="I28" i="2"/>
  <c r="H28" i="2"/>
  <c r="AB33" i="2" l="1"/>
  <c r="AA33" i="2" s="1"/>
  <c r="AB31" i="2"/>
  <c r="AA31" i="2" s="1"/>
  <c r="AB30" i="2"/>
  <c r="AA30" i="2" s="1"/>
  <c r="AB32" i="2"/>
  <c r="AA32" i="2" s="1"/>
  <c r="AA29" i="2"/>
  <c r="Z29" i="2"/>
  <c r="Z31" i="2"/>
  <c r="M28" i="2"/>
  <c r="W28" i="2"/>
  <c r="W29" i="2"/>
  <c r="W30" i="2"/>
  <c r="W31" i="2"/>
  <c r="W32" i="2"/>
  <c r="W33" i="2"/>
  <c r="AB28" i="2"/>
  <c r="Z30" i="2" l="1"/>
  <c r="Z33" i="2"/>
  <c r="Z32" i="2"/>
  <c r="X28" i="2"/>
  <c r="Y28" i="2"/>
  <c r="X32" i="2"/>
  <c r="Y32" i="2"/>
  <c r="X31" i="2"/>
  <c r="Y31" i="2"/>
  <c r="AA28" i="2"/>
  <c r="Z28" i="2"/>
  <c r="X30" i="2"/>
  <c r="Y30" i="2"/>
  <c r="X33" i="2"/>
  <c r="Y33" i="2"/>
  <c r="X29" i="2"/>
  <c r="Y29" i="2"/>
  <c r="AC28" i="2" l="1"/>
  <c r="AD28" i="2" s="1"/>
  <c r="AG28" i="2" s="1"/>
  <c r="S27" i="2" l="1"/>
  <c r="P27" i="2"/>
  <c r="S26" i="2"/>
  <c r="P26" i="2"/>
  <c r="W27" i="2" s="1"/>
  <c r="S25" i="2"/>
  <c r="P25" i="2"/>
  <c r="S24" i="2"/>
  <c r="P24" i="2"/>
  <c r="S23" i="2"/>
  <c r="P23" i="2"/>
  <c r="AF22" i="2"/>
  <c r="S22" i="2"/>
  <c r="P22" i="2"/>
  <c r="K22" i="2"/>
  <c r="L22" i="2" s="1"/>
  <c r="I22" i="2"/>
  <c r="H22" i="2"/>
  <c r="S21" i="2"/>
  <c r="P21" i="2"/>
  <c r="S20" i="2"/>
  <c r="P20" i="2"/>
  <c r="S19" i="2"/>
  <c r="P19" i="2"/>
  <c r="S18" i="2"/>
  <c r="P18" i="2"/>
  <c r="S17" i="2"/>
  <c r="P17" i="2"/>
  <c r="S16" i="2"/>
  <c r="P16" i="2"/>
  <c r="K16" i="2"/>
  <c r="L16" i="2" s="1"/>
  <c r="I16" i="2"/>
  <c r="H16" i="2"/>
  <c r="S15" i="2"/>
  <c r="P15" i="2"/>
  <c r="S14" i="2"/>
  <c r="P14" i="2"/>
  <c r="S13" i="2"/>
  <c r="P13" i="2"/>
  <c r="AB12" i="2"/>
  <c r="AA12" i="2" s="1"/>
  <c r="W12" i="2"/>
  <c r="X12" i="2" s="1"/>
  <c r="S12" i="2"/>
  <c r="S11" i="2"/>
  <c r="AF10" i="2"/>
  <c r="S10" i="2"/>
  <c r="P10" i="2"/>
  <c r="K10" i="2"/>
  <c r="L10" i="2" s="1"/>
  <c r="I10" i="2"/>
  <c r="H10" i="2"/>
  <c r="AB21" i="1"/>
  <c r="Z21" i="1"/>
  <c r="X21" i="1"/>
  <c r="V21" i="1"/>
  <c r="T21" i="1"/>
  <c r="R21" i="1"/>
  <c r="P21" i="1"/>
  <c r="AB20" i="1"/>
  <c r="Z20" i="1"/>
  <c r="X20" i="1"/>
  <c r="V20" i="1"/>
  <c r="T20" i="1"/>
  <c r="R20" i="1"/>
  <c r="P20" i="1"/>
  <c r="AB19" i="1"/>
  <c r="Z19" i="1"/>
  <c r="X19" i="1"/>
  <c r="V19" i="1"/>
  <c r="T19" i="1"/>
  <c r="R19" i="1"/>
  <c r="P19" i="1"/>
  <c r="AB18" i="1"/>
  <c r="Z18" i="1"/>
  <c r="X18" i="1"/>
  <c r="V18" i="1"/>
  <c r="T18" i="1"/>
  <c r="R18" i="1"/>
  <c r="P18" i="1"/>
  <c r="AB17" i="1"/>
  <c r="Z17" i="1"/>
  <c r="X17" i="1"/>
  <c r="V17" i="1"/>
  <c r="T17" i="1"/>
  <c r="R17" i="1"/>
  <c r="P17" i="1"/>
  <c r="J17" i="1"/>
  <c r="K17" i="1" s="1"/>
  <c r="H17" i="1"/>
  <c r="G17" i="1"/>
  <c r="AB16" i="1"/>
  <c r="Z16" i="1"/>
  <c r="X16" i="1"/>
  <c r="V16" i="1"/>
  <c r="T16" i="1"/>
  <c r="R16" i="1"/>
  <c r="P16" i="1"/>
  <c r="AB15" i="1"/>
  <c r="Z15" i="1"/>
  <c r="X15" i="1"/>
  <c r="V15" i="1"/>
  <c r="T15" i="1"/>
  <c r="R15" i="1"/>
  <c r="P15" i="1"/>
  <c r="AB14" i="1"/>
  <c r="Z14" i="1"/>
  <c r="X14" i="1"/>
  <c r="V14" i="1"/>
  <c r="T14" i="1"/>
  <c r="R14" i="1"/>
  <c r="P14" i="1"/>
  <c r="AB13" i="1"/>
  <c r="Z13" i="1"/>
  <c r="X13" i="1"/>
  <c r="V13" i="1"/>
  <c r="T13" i="1"/>
  <c r="R13" i="1"/>
  <c r="P13" i="1"/>
  <c r="AB12" i="1"/>
  <c r="Z12" i="1"/>
  <c r="X12" i="1"/>
  <c r="V12" i="1"/>
  <c r="T12" i="1"/>
  <c r="R12" i="1"/>
  <c r="P12" i="1"/>
  <c r="J12" i="1"/>
  <c r="K12" i="1" s="1"/>
  <c r="H12" i="1"/>
  <c r="G12" i="1"/>
  <c r="AB11" i="1"/>
  <c r="Z11" i="1"/>
  <c r="X11" i="1"/>
  <c r="V11" i="1"/>
  <c r="T11" i="1"/>
  <c r="R11" i="1"/>
  <c r="P11" i="1"/>
  <c r="AB10" i="1"/>
  <c r="Z10" i="1"/>
  <c r="X10" i="1"/>
  <c r="V10" i="1"/>
  <c r="T10" i="1"/>
  <c r="R10" i="1"/>
  <c r="P10" i="1"/>
  <c r="AB9" i="1"/>
  <c r="Z9" i="1"/>
  <c r="X9" i="1"/>
  <c r="V9" i="1"/>
  <c r="T9" i="1"/>
  <c r="R9" i="1"/>
  <c r="P9" i="1"/>
  <c r="AB8" i="1"/>
  <c r="Z8" i="1"/>
  <c r="X8" i="1"/>
  <c r="V8" i="1"/>
  <c r="T8" i="1"/>
  <c r="R8" i="1"/>
  <c r="P8" i="1"/>
  <c r="AB7" i="1"/>
  <c r="Z7" i="1"/>
  <c r="X7" i="1"/>
  <c r="V7" i="1"/>
  <c r="T7" i="1"/>
  <c r="R7" i="1"/>
  <c r="P7" i="1"/>
  <c r="J7" i="1"/>
  <c r="K7" i="1" s="1"/>
  <c r="H7" i="1"/>
  <c r="G7" i="1"/>
  <c r="AB16" i="2" l="1"/>
  <c r="AA16" i="2" s="1"/>
  <c r="W18" i="2"/>
  <c r="X18" i="2" s="1"/>
  <c r="W24" i="2"/>
  <c r="Y24" i="2" s="1"/>
  <c r="W26" i="2"/>
  <c r="Y26" i="2" s="1"/>
  <c r="AB17" i="2"/>
  <c r="Z17" i="2" s="1"/>
  <c r="Y12" i="2"/>
  <c r="W10" i="2"/>
  <c r="X10" i="2" s="1"/>
  <c r="W15" i="2"/>
  <c r="Y15" i="2" s="1"/>
  <c r="AB21" i="2"/>
  <c r="Z21" i="2" s="1"/>
  <c r="W22" i="2"/>
  <c r="Y22" i="2" s="1"/>
  <c r="W23" i="2" s="1"/>
  <c r="AB24" i="2"/>
  <c r="AA24" i="2" s="1"/>
  <c r="W25" i="2"/>
  <c r="Y25" i="2" s="1"/>
  <c r="AB22" i="2"/>
  <c r="AB23" i="2" s="1"/>
  <c r="Y27" i="2"/>
  <c r="X27" i="2"/>
  <c r="W14" i="2"/>
  <c r="Y14" i="2" s="1"/>
  <c r="X24" i="2"/>
  <c r="AB26" i="2"/>
  <c r="AB27" i="2"/>
  <c r="AB19" i="2"/>
  <c r="Z19" i="2" s="1"/>
  <c r="AB25" i="2"/>
  <c r="W17" i="2"/>
  <c r="M10" i="2"/>
  <c r="X15" i="2"/>
  <c r="AB10" i="2"/>
  <c r="AB13" i="2"/>
  <c r="AB14" i="2"/>
  <c r="AB15" i="2"/>
  <c r="W11" i="2"/>
  <c r="AB11" i="2"/>
  <c r="AA11" i="2" s="1"/>
  <c r="W13" i="2"/>
  <c r="AB20" i="2"/>
  <c r="W21" i="2"/>
  <c r="Z24" i="2"/>
  <c r="AB18" i="2"/>
  <c r="AA17" i="2"/>
  <c r="Y18" i="2"/>
  <c r="W19" i="2"/>
  <c r="M22" i="2"/>
  <c r="M16" i="2"/>
  <c r="W20" i="2"/>
  <c r="W16" i="2"/>
  <c r="Y16" i="2" s="1"/>
  <c r="AC16" i="2" s="1"/>
  <c r="AD16" i="2" s="1"/>
  <c r="AC17" i="1"/>
  <c r="AD17" i="1" s="1"/>
  <c r="AF17" i="1" s="1"/>
  <c r="AG17" i="1" s="1"/>
  <c r="AC18" i="1"/>
  <c r="AD18" i="1" s="1"/>
  <c r="AF18" i="1" s="1"/>
  <c r="AG18" i="1" s="1"/>
  <c r="AC21" i="1"/>
  <c r="AD21" i="1" s="1"/>
  <c r="AF21" i="1" s="1"/>
  <c r="AG21" i="1" s="1"/>
  <c r="AC8" i="1"/>
  <c r="AD8" i="1" s="1"/>
  <c r="AF8" i="1" s="1"/>
  <c r="AG8" i="1" s="1"/>
  <c r="AC9" i="1"/>
  <c r="AD9" i="1" s="1"/>
  <c r="AF9" i="1" s="1"/>
  <c r="AG9" i="1" s="1"/>
  <c r="AC10" i="1"/>
  <c r="AD10" i="1" s="1"/>
  <c r="AF10" i="1" s="1"/>
  <c r="AG10" i="1" s="1"/>
  <c r="AC13" i="1"/>
  <c r="AD13" i="1" s="1"/>
  <c r="AF13" i="1" s="1"/>
  <c r="AG13" i="1" s="1"/>
  <c r="AC11" i="1"/>
  <c r="AD11" i="1" s="1"/>
  <c r="AF11" i="1" s="1"/>
  <c r="AG11" i="1" s="1"/>
  <c r="L12" i="1"/>
  <c r="AC7" i="1"/>
  <c r="AD7" i="1" s="1"/>
  <c r="AF7" i="1" s="1"/>
  <c r="AG7" i="1" s="1"/>
  <c r="AI7" i="1" s="1"/>
  <c r="AJ7" i="1" s="1"/>
  <c r="AC12" i="1"/>
  <c r="AD12" i="1" s="1"/>
  <c r="AF12" i="1" s="1"/>
  <c r="AG12" i="1" s="1"/>
  <c r="AC15" i="1"/>
  <c r="AD15" i="1" s="1"/>
  <c r="AF15" i="1" s="1"/>
  <c r="AG15" i="1" s="1"/>
  <c r="AC16" i="1"/>
  <c r="AD16" i="1" s="1"/>
  <c r="AF16" i="1" s="1"/>
  <c r="AG16" i="1" s="1"/>
  <c r="L17" i="1"/>
  <c r="AC19" i="1"/>
  <c r="AD19" i="1" s="1"/>
  <c r="AF19" i="1" s="1"/>
  <c r="AG19" i="1" s="1"/>
  <c r="AI17" i="1" s="1"/>
  <c r="AJ17" i="1" s="1"/>
  <c r="AC20" i="1"/>
  <c r="AD20" i="1" s="1"/>
  <c r="AF20" i="1" s="1"/>
  <c r="AG20" i="1" s="1"/>
  <c r="AL7" i="1"/>
  <c r="AM7" i="1" s="1"/>
  <c r="AN7" i="1" s="1"/>
  <c r="AP7" i="1"/>
  <c r="AQ7" i="1" s="1"/>
  <c r="AR7" i="1" s="1"/>
  <c r="L7" i="1"/>
  <c r="AC14" i="1"/>
  <c r="AD14" i="1" s="1"/>
  <c r="AF14" i="1" s="1"/>
  <c r="AG14" i="1" s="1"/>
  <c r="AA22" i="2" l="1"/>
  <c r="Y10" i="2"/>
  <c r="X22" i="2"/>
  <c r="X26" i="2"/>
  <c r="X14" i="2"/>
  <c r="X25" i="2"/>
  <c r="AA21" i="2"/>
  <c r="AE16" i="2"/>
  <c r="AF16" i="2" s="1"/>
  <c r="AG16" i="2" s="1"/>
  <c r="AA19" i="2"/>
  <c r="Z22" i="2"/>
  <c r="AA25" i="2"/>
  <c r="Z25" i="2"/>
  <c r="AA27" i="2"/>
  <c r="Z27" i="2"/>
  <c r="X17" i="2"/>
  <c r="Y17" i="2"/>
  <c r="AA26" i="2"/>
  <c r="Z26" i="2"/>
  <c r="X19" i="2"/>
  <c r="Y19" i="2"/>
  <c r="AA23" i="2"/>
  <c r="Z23" i="2"/>
  <c r="AA15" i="2"/>
  <c r="Z15" i="2"/>
  <c r="X20" i="2"/>
  <c r="Y20" i="2"/>
  <c r="X21" i="2"/>
  <c r="Y21" i="2"/>
  <c r="AA14" i="2"/>
  <c r="Z14" i="2"/>
  <c r="AA13" i="2"/>
  <c r="Z13" i="2"/>
  <c r="Z18" i="2"/>
  <c r="AA18" i="2"/>
  <c r="Y23" i="2"/>
  <c r="AC22" i="2" s="1"/>
  <c r="AD22" i="2" s="1"/>
  <c r="AG22" i="2" s="1"/>
  <c r="X23" i="2"/>
  <c r="Z20" i="2"/>
  <c r="AA20" i="2"/>
  <c r="Y13" i="2"/>
  <c r="X13" i="2"/>
  <c r="X11" i="2"/>
  <c r="Y11" i="2"/>
  <c r="AA10" i="2"/>
  <c r="Z10" i="2"/>
  <c r="AS7" i="1"/>
  <c r="AP17" i="1"/>
  <c r="AQ17" i="1" s="1"/>
  <c r="AR17" i="1" s="1"/>
  <c r="AL17" i="1"/>
  <c r="AM17" i="1" s="1"/>
  <c r="AN17" i="1" s="1"/>
  <c r="AI12" i="1"/>
  <c r="AJ12" i="1" s="1"/>
  <c r="AP12" i="1" s="1"/>
  <c r="AQ12" i="1" s="1"/>
  <c r="AR12" i="1" s="1"/>
  <c r="AL12" i="1"/>
  <c r="AM12" i="1" s="1"/>
  <c r="AN12" i="1" s="1"/>
  <c r="AC10" i="2" l="1"/>
  <c r="AD10" i="2" s="1"/>
  <c r="AG10" i="2" s="1"/>
  <c r="AS17" i="1"/>
  <c r="AS12" i="1"/>
</calcChain>
</file>

<file path=xl/comments1.xml><?xml version="1.0" encoding="utf-8"?>
<comments xmlns="http://schemas.openxmlformats.org/spreadsheetml/2006/main">
  <authors>
    <author>Maida Pajaro</author>
  </authors>
  <commentList>
    <comment ref="F222" authorId="0">
      <text>
        <r>
          <rPr>
            <b/>
            <sz val="9"/>
            <color indexed="81"/>
            <rFont val="Tahoma"/>
            <charset val="1"/>
          </rPr>
          <t>PRESUPUESTO</t>
        </r>
        <r>
          <rPr>
            <sz val="9"/>
            <color indexed="81"/>
            <rFont val="Tahoma"/>
            <charset val="1"/>
          </rPr>
          <t xml:space="preserve">
</t>
        </r>
      </text>
    </comment>
    <comment ref="F228" authorId="0">
      <text>
        <r>
          <rPr>
            <b/>
            <sz val="9"/>
            <color indexed="81"/>
            <rFont val="Tahoma"/>
            <family val="2"/>
          </rPr>
          <t xml:space="preserve">TESORERIA
</t>
        </r>
        <r>
          <rPr>
            <sz val="9"/>
            <color indexed="81"/>
            <rFont val="Tahoma"/>
            <family val="2"/>
          </rPr>
          <t xml:space="preserve">
</t>
        </r>
      </text>
    </comment>
    <comment ref="F234" authorId="0">
      <text>
        <r>
          <rPr>
            <b/>
            <sz val="9"/>
            <color indexed="81"/>
            <rFont val="Tahoma"/>
            <family val="2"/>
          </rPr>
          <t xml:space="preserve">TESORERIA
</t>
        </r>
      </text>
    </comment>
    <comment ref="F240" authorId="0">
      <text>
        <r>
          <rPr>
            <b/>
            <sz val="9"/>
            <color indexed="81"/>
            <rFont val="Tahoma"/>
            <family val="2"/>
          </rPr>
          <t>TESORERIA</t>
        </r>
        <r>
          <rPr>
            <sz val="9"/>
            <color indexed="81"/>
            <rFont val="Tahoma"/>
            <family val="2"/>
          </rPr>
          <t xml:space="preserve">
</t>
        </r>
      </text>
    </comment>
    <comment ref="F246" authorId="0">
      <text>
        <r>
          <rPr>
            <b/>
            <sz val="9"/>
            <color indexed="81"/>
            <rFont val="Tahoma"/>
            <family val="2"/>
          </rPr>
          <t xml:space="preserve">CONTABILIDAD
</t>
        </r>
      </text>
    </comment>
    <comment ref="F252" authorId="0">
      <text>
        <r>
          <rPr>
            <b/>
            <sz val="9"/>
            <color indexed="81"/>
            <rFont val="Tahoma"/>
            <family val="2"/>
          </rPr>
          <t>CONTABILIDAD</t>
        </r>
      </text>
    </comment>
    <comment ref="F258" authorId="0">
      <text>
        <r>
          <rPr>
            <b/>
            <sz val="9"/>
            <color indexed="81"/>
            <rFont val="Tahoma"/>
            <family val="2"/>
          </rPr>
          <t>CONTABILIDAD</t>
        </r>
        <r>
          <rPr>
            <sz val="9"/>
            <color indexed="81"/>
            <rFont val="Tahoma"/>
            <family val="2"/>
          </rPr>
          <t xml:space="preserve">
</t>
        </r>
      </text>
    </comment>
    <comment ref="F264" authorId="0">
      <text>
        <r>
          <rPr>
            <b/>
            <sz val="9"/>
            <color indexed="81"/>
            <rFont val="Tahoma"/>
            <family val="2"/>
          </rPr>
          <t>CONTABILIDAD</t>
        </r>
        <r>
          <rPr>
            <sz val="9"/>
            <color indexed="81"/>
            <rFont val="Tahoma"/>
            <family val="2"/>
          </rPr>
          <t xml:space="preserve">
</t>
        </r>
      </text>
    </comment>
    <comment ref="F384" authorId="0">
      <text>
        <r>
          <rPr>
            <b/>
            <sz val="9"/>
            <color indexed="81"/>
            <rFont val="Tahoma"/>
            <family val="2"/>
          </rPr>
          <t>Maida Pajaro:</t>
        </r>
        <r>
          <rPr>
            <sz val="9"/>
            <color indexed="81"/>
            <rFont val="Tahoma"/>
            <family val="2"/>
          </rPr>
          <t xml:space="preserve">
ASIGNADO A TODOS LOS PROCESOS
VERIFICAR LOS CONTROLES CON TIC, PARA LA GENERACIÓN DE CONTROLES ESTANDARIZADOS, SE INCLUYE DENTRO DEL SUBPROCESO DE TIC</t>
        </r>
      </text>
    </comment>
    <comment ref="F426" authorId="0">
      <text>
        <r>
          <rPr>
            <b/>
            <sz val="9"/>
            <color indexed="81"/>
            <rFont val="Tahoma"/>
            <family val="2"/>
          </rPr>
          <t>CONTABILIDAD</t>
        </r>
        <r>
          <rPr>
            <sz val="9"/>
            <color indexed="81"/>
            <rFont val="Tahoma"/>
            <family val="2"/>
          </rPr>
          <t xml:space="preserve">
</t>
        </r>
      </text>
    </comment>
    <comment ref="F432" authorId="0">
      <text>
        <r>
          <rPr>
            <b/>
            <sz val="9"/>
            <color indexed="81"/>
            <rFont val="Tahoma"/>
            <family val="2"/>
          </rPr>
          <t>CONTABILIDAD</t>
        </r>
        <r>
          <rPr>
            <sz val="9"/>
            <color indexed="81"/>
            <rFont val="Tahoma"/>
            <family val="2"/>
          </rPr>
          <t xml:space="preserve">
</t>
        </r>
      </text>
    </comment>
    <comment ref="F456" authorId="0">
      <text>
        <r>
          <rPr>
            <b/>
            <sz val="9"/>
            <color indexed="81"/>
            <rFont val="Tahoma"/>
            <family val="2"/>
          </rPr>
          <t>CONTABILIDAD</t>
        </r>
        <r>
          <rPr>
            <sz val="9"/>
            <color indexed="81"/>
            <rFont val="Tahoma"/>
            <family val="2"/>
          </rPr>
          <t xml:space="preserve">
</t>
        </r>
      </text>
    </comment>
  </commentList>
</comments>
</file>

<file path=xl/comments2.xml><?xml version="1.0" encoding="utf-8"?>
<comments xmlns="http://schemas.openxmlformats.org/spreadsheetml/2006/main">
  <authors>
    <author>USER</author>
    <author>GINA SANCHEZ</author>
  </authors>
  <commentList>
    <comment ref="D3" authorId="0">
      <text>
        <r>
          <rPr>
            <b/>
            <sz val="9"/>
            <color indexed="81"/>
            <rFont val="Tahoma"/>
            <family val="2"/>
          </rPr>
          <t>Condiciones para la descripción del riesgo de corrupción:</t>
        </r>
        <r>
          <rPr>
            <sz val="9"/>
            <color indexed="81"/>
            <rFont val="Tahoma"/>
            <family val="2"/>
          </rPr>
          <t xml:space="preserve">
1: Acción u omisión
2: Uso del poder
3: Desviar la gestión de lo público
4: Beneficio privado
Nota: Si no cumple estas condiciones no es un riesgo de corrupción</t>
        </r>
      </text>
    </comment>
    <comment ref="H3" authorId="1">
      <text>
        <r>
          <rPr>
            <b/>
            <sz val="9"/>
            <color indexed="81"/>
            <rFont val="Tahoma"/>
            <family val="2"/>
          </rPr>
          <t xml:space="preserve">OAP: Para definir el impacto de los riesgos de corrupción, se deben responder los criterios para calificar el impacto:
1. Ir a la pestaña "calificación de riesgos de corrupción"
2. Escoger la opción según el número de preguntas afirmativas.
</t>
        </r>
        <r>
          <rPr>
            <sz val="9"/>
            <color indexed="81"/>
            <rFont val="Tahoma"/>
            <family val="2"/>
          </rPr>
          <t xml:space="preserve">
</t>
        </r>
      </text>
    </comment>
  </commentList>
</comments>
</file>

<file path=xl/comments3.xml><?xml version="1.0" encoding="utf-8"?>
<comments xmlns="http://schemas.openxmlformats.org/spreadsheetml/2006/main">
  <authors>
    <author>Maida Pajaro</author>
  </authors>
  <commentList>
    <comment ref="C28" authorId="0">
      <text>
        <r>
          <rPr>
            <b/>
            <sz val="9"/>
            <color indexed="81"/>
            <rFont val="Tahoma"/>
            <family val="2"/>
          </rPr>
          <t>Maida Pajaro:</t>
        </r>
        <r>
          <rPr>
            <sz val="9"/>
            <color indexed="81"/>
            <rFont val="Tahoma"/>
            <family val="2"/>
          </rPr>
          <t xml:space="preserve">
eliminado el riesgo por asociaciones con el segundo</t>
        </r>
      </text>
    </comment>
    <comment ref="B40" authorId="0">
      <text>
        <r>
          <rPr>
            <b/>
            <sz val="9"/>
            <color indexed="81"/>
            <rFont val="Tahoma"/>
            <charset val="1"/>
          </rPr>
          <t>ELIMINADO 2023</t>
        </r>
      </text>
    </comment>
    <comment ref="B46" authorId="0">
      <text>
        <r>
          <rPr>
            <b/>
            <sz val="9"/>
            <color indexed="81"/>
            <rFont val="Tahoma"/>
            <charset val="1"/>
          </rPr>
          <t>ELIMINADO 2023</t>
        </r>
        <r>
          <rPr>
            <sz val="9"/>
            <color indexed="81"/>
            <rFont val="Tahoma"/>
            <charset val="1"/>
          </rPr>
          <t xml:space="preserve">
</t>
        </r>
      </text>
    </comment>
    <comment ref="B52" authorId="0">
      <text>
        <r>
          <rPr>
            <b/>
            <sz val="9"/>
            <color indexed="81"/>
            <rFont val="Tahoma"/>
            <charset val="1"/>
          </rPr>
          <t>ELIMINADO 2023</t>
        </r>
      </text>
    </comment>
    <comment ref="C58" authorId="0">
      <text>
        <r>
          <rPr>
            <b/>
            <sz val="9"/>
            <color indexed="81"/>
            <rFont val="Tahoma"/>
          </rPr>
          <t>Maida Pajaro:</t>
        </r>
        <r>
          <rPr>
            <sz val="9"/>
            <color indexed="81"/>
            <rFont val="Tahoma"/>
          </rPr>
          <t xml:space="preserve">
pasar a transversal</t>
        </r>
      </text>
    </comment>
    <comment ref="AP58" authorId="0">
      <text>
        <r>
          <rPr>
            <b/>
            <sz val="9"/>
            <color indexed="81"/>
            <rFont val="Tahoma"/>
            <family val="2"/>
          </rPr>
          <t>Maida Pajaro:</t>
        </r>
        <r>
          <rPr>
            <sz val="9"/>
            <color indexed="81"/>
            <rFont val="Tahoma"/>
            <family val="2"/>
          </rPr>
          <t xml:space="preserve">
Solicitud 1: Bandeja construseñales.
Solicitud 2: Firma desde el ORFEO.
</t>
        </r>
      </text>
    </comment>
  </commentList>
</comments>
</file>

<file path=xl/comments4.xml><?xml version="1.0" encoding="utf-8"?>
<comments xmlns="http://schemas.openxmlformats.org/spreadsheetml/2006/main">
  <authors>
    <author>USER</author>
    <author>GINA SANCHEZ</author>
    <author>Maida Pajaro</author>
  </authors>
  <commentList>
    <comment ref="D5" authorId="0">
      <text>
        <r>
          <rPr>
            <b/>
            <sz val="9"/>
            <color indexed="81"/>
            <rFont val="Tahoma"/>
            <family val="2"/>
          </rPr>
          <t>Condiciones para la descripción del riesgo de corrupción:</t>
        </r>
        <r>
          <rPr>
            <sz val="9"/>
            <color indexed="81"/>
            <rFont val="Tahoma"/>
            <family val="2"/>
          </rPr>
          <t xml:space="preserve">
1: Acción u omisión
2: Uso del poder
3: Desviar la gestión de lo público
4: Beneficio privado
Nota: Si no cumple estas condiciones no es un riesgo de corrupción</t>
        </r>
      </text>
    </comment>
    <comment ref="E5" authorId="0">
      <text>
        <r>
          <rPr>
            <b/>
            <sz val="9"/>
            <color indexed="81"/>
            <rFont val="Tahoma"/>
            <family val="2"/>
          </rPr>
          <t>Condiciones para la descripción del riesgo de corrupción:</t>
        </r>
        <r>
          <rPr>
            <sz val="9"/>
            <color indexed="81"/>
            <rFont val="Tahoma"/>
            <family val="2"/>
          </rPr>
          <t xml:space="preserve">
1: Acción u omisión
2: Uso del poder
3: Desviar la gestión de lo público
4: Beneficio privado
Nota: Si no cumple estas condiciones no es un riesgo de corrupción</t>
        </r>
      </text>
    </comment>
    <comment ref="I5" authorId="1">
      <text>
        <r>
          <rPr>
            <b/>
            <sz val="9"/>
            <color indexed="81"/>
            <rFont val="Tahoma"/>
            <family val="2"/>
          </rPr>
          <t xml:space="preserve">OAP: Para definir el impacto de los riesgos de corrupción, se deben responder los criterios para calificar el impacto:
1. Ir a la pestaña "calificación de riesgos de corrupción"
2. Escoger la opción según el número de preguntas afirmativas.
</t>
        </r>
        <r>
          <rPr>
            <sz val="9"/>
            <color indexed="81"/>
            <rFont val="Tahoma"/>
            <family val="2"/>
          </rPr>
          <t xml:space="preserve">
</t>
        </r>
      </text>
    </comment>
    <comment ref="B7" authorId="2">
      <text>
        <r>
          <rPr>
            <b/>
            <sz val="9"/>
            <color indexed="81"/>
            <rFont val="Tahoma"/>
            <family val="2"/>
          </rPr>
          <t>Maida Pajaro:</t>
        </r>
        <r>
          <rPr>
            <sz val="9"/>
            <color indexed="81"/>
            <rFont val="Tahoma"/>
            <family val="2"/>
          </rPr>
          <t xml:space="preserve">
RIESGO ELIMINADO</t>
        </r>
      </text>
    </comment>
  </commentList>
</comments>
</file>

<file path=xl/sharedStrings.xml><?xml version="1.0" encoding="utf-8"?>
<sst xmlns="http://schemas.openxmlformats.org/spreadsheetml/2006/main" count="3573" uniqueCount="862">
  <si>
    <t>Código:</t>
  </si>
  <si>
    <t>SIG-M06b</t>
  </si>
  <si>
    <t>Versión:</t>
  </si>
  <si>
    <t>Fecha de actualización:</t>
  </si>
  <si>
    <t>Identificación del riesgo</t>
  </si>
  <si>
    <t>Análisis del riesgo inherente</t>
  </si>
  <si>
    <t>Valoración del diseño</t>
  </si>
  <si>
    <t>Valoración de la ejecución del control</t>
  </si>
  <si>
    <t>SOLIDEZ INDIVIDUAL DEL CONTROL</t>
  </si>
  <si>
    <t>CANTIDAD DE CONTROLES AL RIESGO</t>
  </si>
  <si>
    <t>SOLIDEZ DEL CONJUNTO DE LOS CONTROLES</t>
  </si>
  <si>
    <t>CONTROLES AYUDAN A DISMINUIR LA PROBABILIDAD</t>
  </si>
  <si>
    <t xml:space="preserve">Ajuste en mapa de calor </t>
  </si>
  <si>
    <t>% Probabilidad residual</t>
  </si>
  <si>
    <t>PROBABILIDAD RESIDUAL</t>
  </si>
  <si>
    <t>CONTROLES AYUDAN A DISMINUIR EL IMPACTO</t>
  </si>
  <si>
    <t>% impacto residual</t>
  </si>
  <si>
    <t>IMPACTO RESIDUAL</t>
  </si>
  <si>
    <t>RIESGO RESIDUAL</t>
  </si>
  <si>
    <t>Plan de Acción</t>
  </si>
  <si>
    <t>Indicador clave de riesgo
Nombre/Métrica</t>
  </si>
  <si>
    <t xml:space="preserve">Desempeño del control= # eventos /frecuencia del riesgo </t>
  </si>
  <si>
    <t xml:space="preserve">Referencia </t>
  </si>
  <si>
    <t>PROCESO</t>
  </si>
  <si>
    <t>Hecho de corrupción
(Causas)</t>
  </si>
  <si>
    <t>Descripción del Riesgo</t>
  </si>
  <si>
    <t>Clasificación del Riesgo</t>
  </si>
  <si>
    <t xml:space="preserve">Frecuencia </t>
  </si>
  <si>
    <t>Probabilidad Inherente</t>
  </si>
  <si>
    <t>%</t>
  </si>
  <si>
    <t>Criterios de impacto</t>
  </si>
  <si>
    <t>Impacto 
Inherente</t>
  </si>
  <si>
    <t>Zona de Riesgo Inherente</t>
  </si>
  <si>
    <t>No. Control</t>
  </si>
  <si>
    <t>Descripción del Control</t>
  </si>
  <si>
    <r>
      <rPr>
        <b/>
        <sz val="9"/>
        <color theme="1"/>
        <rFont val="Arial Narrow"/>
        <family val="2"/>
      </rPr>
      <t>RESPONSABLE</t>
    </r>
    <r>
      <rPr>
        <sz val="9"/>
        <color theme="1"/>
        <rFont val="Arial Narrow"/>
        <family val="2"/>
      </rPr>
      <t xml:space="preserve">
¿Existe un responsable asignado a la ejecución del control?</t>
    </r>
  </si>
  <si>
    <r>
      <rPr>
        <b/>
        <sz val="9"/>
        <color theme="1"/>
        <rFont val="Arial Narrow"/>
        <family val="2"/>
      </rPr>
      <t>RESPONSABLE</t>
    </r>
    <r>
      <rPr>
        <sz val="9"/>
        <color theme="1"/>
        <rFont val="Arial Narrow"/>
        <family val="2"/>
      </rPr>
      <t xml:space="preserve">
¿El responsable tiene la autoridad y adecuada segregación de funciones en la ejecución del control?</t>
    </r>
  </si>
  <si>
    <r>
      <rPr>
        <b/>
        <sz val="9"/>
        <color theme="1"/>
        <rFont val="Arial Narrow"/>
        <family val="2"/>
      </rPr>
      <t>PERIODICIDAD</t>
    </r>
    <r>
      <rPr>
        <sz val="9"/>
        <color theme="1"/>
        <rFont val="Arial Narrow"/>
        <family val="2"/>
      </rPr>
      <t xml:space="preserve">
¿La oportunidad en que se ejecuta el control ayuda a prevenir la mitigación del riesgo o a detectar la materialización del riesgo de manera oportuna?</t>
    </r>
  </si>
  <si>
    <r>
      <rPr>
        <b/>
        <sz val="9"/>
        <color theme="1"/>
        <rFont val="Arial Narrow"/>
        <family val="2"/>
      </rPr>
      <t>PROPÓSITO</t>
    </r>
    <r>
      <rPr>
        <sz val="9"/>
        <color theme="1"/>
        <rFont val="Arial Narrow"/>
        <family val="2"/>
      </rPr>
      <t xml:space="preserve">
¿Las actividades que se desarrollan en el control realmente buscan por si sola prevenir o detectar las causas que pueden dar origen al riesgo, Ej.: verificar, validar, cotejar, comparar, revisar, etc.?</t>
    </r>
  </si>
  <si>
    <r>
      <rPr>
        <b/>
        <sz val="9"/>
        <color theme="1"/>
        <rFont val="Arial Narrow"/>
        <family val="2"/>
      </rPr>
      <t>COMO SE REALIZA</t>
    </r>
    <r>
      <rPr>
        <sz val="9"/>
        <color theme="1"/>
        <rFont val="Arial Narrow"/>
        <family val="2"/>
      </rPr>
      <t xml:space="preserve">
¿La fuente de información que se utiliza en el desarrollo del control es información confiable que permita mitigar el riesgo?</t>
    </r>
  </si>
  <si>
    <r>
      <rPr>
        <b/>
        <sz val="9"/>
        <color theme="1"/>
        <rFont val="Arial Narrow"/>
        <family val="2"/>
      </rPr>
      <t>QUÉ PASA CON LAS OBSERVACIONES O DESVIACIONES</t>
    </r>
    <r>
      <rPr>
        <sz val="9"/>
        <color theme="1"/>
        <rFont val="Arial Narrow"/>
        <family val="2"/>
      </rPr>
      <t xml:space="preserve">
¿Las observaciones, desviaciones o diferencias identificadas como resultados de la ejecución del control son investigadas y resueltas de manera oportuna?</t>
    </r>
  </si>
  <si>
    <r>
      <rPr>
        <b/>
        <sz val="9"/>
        <color theme="1"/>
        <rFont val="Arial Narrow"/>
        <family val="2"/>
      </rPr>
      <t>EVIDENCIA</t>
    </r>
    <r>
      <rPr>
        <sz val="9"/>
        <color theme="1"/>
        <rFont val="Arial Narrow"/>
        <family val="2"/>
      </rPr>
      <t xml:space="preserve">
¿Se deja evidencia o rastro de la ejecución del control que permita a cualquier tercero con la evidencia llegar a la misma conclusión?</t>
    </r>
  </si>
  <si>
    <t>Resultado de evaluación del diseño del control</t>
  </si>
  <si>
    <t>Rango de calificación del diseño del control</t>
  </si>
  <si>
    <r>
      <rPr>
        <b/>
        <sz val="9"/>
        <color theme="1"/>
        <rFont val="Arial Narrow"/>
        <family val="2"/>
      </rPr>
      <t>*Fuerte</t>
    </r>
    <r>
      <rPr>
        <sz val="9"/>
        <color theme="1"/>
        <rFont val="Arial Narrow"/>
        <family val="2"/>
      </rPr>
      <t xml:space="preserve">: El control se ejecuta de manera consistente por parte del responsable.
</t>
    </r>
    <r>
      <rPr>
        <b/>
        <sz val="9"/>
        <color theme="1"/>
        <rFont val="Arial Narrow"/>
        <family val="2"/>
      </rPr>
      <t>Moderado</t>
    </r>
    <r>
      <rPr>
        <sz val="9"/>
        <color theme="1"/>
        <rFont val="Arial Narrow"/>
        <family val="2"/>
      </rPr>
      <t xml:space="preserve">: El control se ejecuta algunas veces por parte del responsable.
</t>
    </r>
    <r>
      <rPr>
        <b/>
        <sz val="9"/>
        <color theme="1"/>
        <rFont val="Arial Narrow"/>
        <family val="2"/>
      </rPr>
      <t>Débil</t>
    </r>
    <r>
      <rPr>
        <sz val="9"/>
        <color theme="1"/>
        <rFont val="Arial Narrow"/>
        <family val="2"/>
      </rPr>
      <t>: El control no se ejecuta por parte del responsable.</t>
    </r>
  </si>
  <si>
    <t>Tratamiento</t>
  </si>
  <si>
    <t>Responsable</t>
  </si>
  <si>
    <t>Fecha Implementación</t>
  </si>
  <si>
    <t>Fecha Seguimiento</t>
  </si>
  <si>
    <t>Seguimiento</t>
  </si>
  <si>
    <t>Estado</t>
  </si>
  <si>
    <t>Asignado / NO asignado</t>
  </si>
  <si>
    <t>Peso en la evaluación</t>
  </si>
  <si>
    <t>Adecuado / Inadecuado</t>
  </si>
  <si>
    <t>Oportuna / Inoportuna</t>
  </si>
  <si>
    <t>Prevenir / Detectar / No es control</t>
  </si>
  <si>
    <t>Confiable / No confiable</t>
  </si>
  <si>
    <t>Se investigan oportunamente / No se investigan oportunamente</t>
  </si>
  <si>
    <t>Completa / Incompleta / No existe</t>
  </si>
  <si>
    <t>SOLIDEZ</t>
  </si>
  <si>
    <t>PESO</t>
  </si>
  <si>
    <t>En el proceso de gestión gerencial y planeación en el ejercicio de sus funciones de formular, controlar y hacer seguimiento a los planes, programas y proyectos se viabilizan actividades que no atienden concretamente la misionalidad y necesidades de la entidad pero que si pueden beneficiar los intereses de las partes interesadas en los planes, programas y proyectos aprobados por la Alta Dirección</t>
  </si>
  <si>
    <t>Posibilidad de pérdida de confianza de la comunidad hacia las actuaciones públicas debido a la omisión de actividades de revisión, verificación, comparación, en los procedimientos establecidos para la formulación, control y seguimiento de los planes, programas y proyectos institucionales con el fin de obtener un beneficio propio o particular.</t>
  </si>
  <si>
    <t>Fraude Interno</t>
  </si>
  <si>
    <t>El evento puede ocurrir solo en circunstancias excepcionales (poco comunes o anormales)No se ha presentado en los últimos 5 años</t>
  </si>
  <si>
    <t>Entre 12 y 19 criterios para calificar el impacto son afirmativos. Genera un impacto catastrófico</t>
  </si>
  <si>
    <t>La Alta Dirección a intervalos planificados comunica, socializa y hace públicas sus decisiones en los Comités Institucionales y las reuniones de Junta Directiva, en caso de inquietudes sobre sus decisiones, sustenta las razones de las mismas. Evidencia de su control mediante actas de comité y actas de junta directiva.</t>
  </si>
  <si>
    <t>Asignado</t>
  </si>
  <si>
    <t>Adecuado</t>
  </si>
  <si>
    <t>Oportuna</t>
  </si>
  <si>
    <t>Prevenir</t>
  </si>
  <si>
    <t>Confiable</t>
  </si>
  <si>
    <t>Se investigan oportunamente</t>
  </si>
  <si>
    <t>No existe</t>
  </si>
  <si>
    <t>Fuerte</t>
  </si>
  <si>
    <t>Directamente</t>
  </si>
  <si>
    <t>Indirectamente</t>
  </si>
  <si>
    <t>Reducir (Mitigar)</t>
  </si>
  <si>
    <t>Verificar permanenteme los resultados de las auditorias en los procesos de contratación y la verificación de los controles de las inversiones en los programas y proyectos  identificando las desviaciones de acuerdo a las políticas aprobadas y los informes presentados por control interno, subdirecciones administrativas, financiera y operativa y contratación</t>
  </si>
  <si>
    <t xml:space="preserve">Director </t>
  </si>
  <si>
    <t>Se realizan actividadesde auditoria.</t>
  </si>
  <si>
    <t>En curso</t>
  </si>
  <si>
    <t>Cantidad de expedientes exonerados que cumplen con las causales de exoneración</t>
  </si>
  <si>
    <t>No aplica</t>
  </si>
  <si>
    <t xml:space="preserve">La Alta Dirección verifica las competencias, la misión institucional, estudios sectoriales y lineas de acción de las inversiones para no incurrir en un objeto que se salga de las funciones como organismo de tránsito con el fin de determinar el plan estratégico y su alcance dejando como evidencia el plan de acción, presupuesto aprobado y acta de autorización de junta </t>
  </si>
  <si>
    <t>La subdirección adminsitrativa y financiera y el profesional de contratación verifican que las políticas a implementar estén alineadas con las inversiones aprobadas en el presupuesto y la normatividad vigente</t>
  </si>
  <si>
    <t>La junta directiva aprueba las políticas institucionales con las cuales se emitirán las líneas estratégicas y operativas dejando con evidencia actas de juntas directiva</t>
  </si>
  <si>
    <t>2c</t>
  </si>
  <si>
    <t>Planeación</t>
  </si>
  <si>
    <t>El evento podrá ocurrir en algún momento.Al menos una vez en los últimos 2 años</t>
  </si>
  <si>
    <t>Completa</t>
  </si>
  <si>
    <t>Reducir (Compartir)</t>
  </si>
  <si>
    <t>Efectividad en la aplicación de actividades de supervisión</t>
  </si>
  <si>
    <t>Según seguimiento</t>
  </si>
  <si>
    <t>El evento puede ocurrir en algún momento. Al menos una vez en los últimos 5 años</t>
  </si>
  <si>
    <t>El profesional universitario de TIC autoriza la salida de equipos de la entidad previa auotrización de su superior, dejando como evidencia correos electrónico de la solicitud.</t>
  </si>
  <si>
    <t>No disminuye</t>
  </si>
  <si>
    <t>Cantidad de información pérdida durante la interrupción del proceso de backup
Comprativo de la información obtenida fecha de inicio y fecha fin</t>
  </si>
  <si>
    <t>No se investigan oportunamente</t>
  </si>
  <si>
    <t>No confiable</t>
  </si>
  <si>
    <t>8c</t>
  </si>
  <si>
    <t>Educación y Seguridad vial</t>
  </si>
  <si>
    <t>Durante la realización de la supervisión de los contratos se puede presentar favorecimiento de un contratista para el pago por sus servicios sin la ejecución adecuada y/o eficiente de su labor o el lleno de los requisitos para el pago.</t>
  </si>
  <si>
    <t>Posibilidad de obtener un beneficio económico por el favorecimiento de un contratista en la ejecución de su contrato</t>
  </si>
  <si>
    <t>Entre 1 y 5 criterios para calificar el impacto son afirmativos. Genera un impacto moderado</t>
  </si>
  <si>
    <t>El subdirector operativo verifica el cumplimiento de las actividades desarrolladas por los contratistas dejando como evidencia formato de supervisión del contrato firmado.</t>
  </si>
  <si>
    <t xml:space="preserve">promover el código de integridad de la entidad a los colaboradores y funcionarios </t>
  </si>
  <si>
    <t>Subdirector Administrativo y Financiero</t>
  </si>
  <si>
    <t>Bimestral</t>
  </si>
  <si>
    <t>No se ha iniciado el seguimiento</t>
  </si>
  <si>
    <t>Débil</t>
  </si>
  <si>
    <t>Aceptar</t>
  </si>
  <si>
    <t>Gestión Financiera</t>
  </si>
  <si>
    <t>Según el seguimiento</t>
  </si>
  <si>
    <t>Moderado</t>
  </si>
  <si>
    <t>Gestión de Trámites</t>
  </si>
  <si>
    <t>22c</t>
  </si>
  <si>
    <t>Durante el traslado de documentos del Centro de Logística Documental a la sede operativa de Sabangrande se pueden presentar alteraciones e inserciones a la documentación, debido a que todos los documentos deben ser embalados y guardados en una bolsa de seguridad que mantenga la confidencialidad y disponibilidad de la información de quien la envia y quien la recibe.</t>
  </si>
  <si>
    <t>Posibilidad de alteración, modificación  e inserción de documentos debido al no cumplimiento de la Ley General de Archivo en el proceso de traslado de los documentos del Centro de Logística Documental a la sede operativa de Sabangrande</t>
  </si>
  <si>
    <t>No existen controles</t>
  </si>
  <si>
    <t>No asignado</t>
  </si>
  <si>
    <t>Inadecuado</t>
  </si>
  <si>
    <t>Inoportuno</t>
  </si>
  <si>
    <t>No es un control</t>
  </si>
  <si>
    <t>Implementar los controles requeridos para dar cumplimiento a la Ley General de Archivos</t>
  </si>
  <si>
    <t>Técnico operativo del Área del Centro de logística</t>
  </si>
  <si>
    <t>No se ha iniciado seguimiento</t>
  </si>
  <si>
    <t>En proceso de implementación Programa de Gestión Documental</t>
  </si>
  <si>
    <t>SIG-M06a</t>
  </si>
  <si>
    <t>Evaluación del riesgo - Valoración de los controles</t>
  </si>
  <si>
    <t>Evaluación del riesgo - Nivel del riesgo residual</t>
  </si>
  <si>
    <t>Activo de Información</t>
  </si>
  <si>
    <t>Frecuencia con la cual se realiza la actividad</t>
  </si>
  <si>
    <t>Afectación</t>
  </si>
  <si>
    <t>Atributos</t>
  </si>
  <si>
    <t>Probabilidad Residual</t>
  </si>
  <si>
    <t xml:space="preserve">Probabilidad Residual </t>
  </si>
  <si>
    <t xml:space="preserve">Impacto Residual </t>
  </si>
  <si>
    <t>Probabilidad Residual Final</t>
  </si>
  <si>
    <t>Impacto Residual Final</t>
  </si>
  <si>
    <t>Zona de Riesgo Final</t>
  </si>
  <si>
    <t>Proceso</t>
  </si>
  <si>
    <t>Tipología del riesgo</t>
  </si>
  <si>
    <t>Tipo</t>
  </si>
  <si>
    <t>Implementación</t>
  </si>
  <si>
    <t>Calificación</t>
  </si>
  <si>
    <t>Documentación</t>
  </si>
  <si>
    <t>Frecuencia</t>
  </si>
  <si>
    <t>Evidencia</t>
  </si>
  <si>
    <t>Gestión</t>
  </si>
  <si>
    <t xml:space="preserve">Ejecución y Administración de Procesos     </t>
  </si>
  <si>
    <t>n/a</t>
  </si>
  <si>
    <t>Preventivo</t>
  </si>
  <si>
    <t>Manual</t>
  </si>
  <si>
    <t>Documentado</t>
  </si>
  <si>
    <t>Contínua</t>
  </si>
  <si>
    <t>Con registro</t>
  </si>
  <si>
    <t>Posibilidad de afectación reputacional respecto a la calidad y la eficiencia de la gestión institucional por suspensión o pérdida de certificación ISO 9001:2015 debido al incumplimiento de los requisitos del sistema de gestión por desconocimiento de la norma y/o documentación obsoleta.</t>
  </si>
  <si>
    <t>El riesgo afecta la imagen de alguna área de la organización</t>
  </si>
  <si>
    <t>El profesional del SIG de la oficina de planeación revisa anualmente la información documentada del SIG en compañía de los líderes de procesos quedando como registro acta de revisión de acuerdo al procedimiento de control de documentos y registros y procedimiento de levantamiento de actualización de procedimientos y formatos.</t>
  </si>
  <si>
    <t>El riesgo afecta la imagen de la entidad internamente, de conocimiento general, nivel interno, de junta dircetiva y accionistas y/o de provedores</t>
  </si>
  <si>
    <t>Sin documentar</t>
  </si>
  <si>
    <t>El riesgo afecta la imagen de la entidad con algunos usuarios de relevancia frente al logro de los objetivos</t>
  </si>
  <si>
    <t xml:space="preserve">Afectación menor a 10 SMLMV </t>
  </si>
  <si>
    <t>Aleatoria</t>
  </si>
  <si>
    <t>Sin registro</t>
  </si>
  <si>
    <t>Reeducación al conductor</t>
  </si>
  <si>
    <t>Seguridad de la Información</t>
  </si>
  <si>
    <t>Fallas tecnológicas</t>
  </si>
  <si>
    <t>Software contravencional</t>
  </si>
  <si>
    <t>El riesgo afecta la imagen de la entidad a nivel nacional, con efecto publicitarios sostenible a nivel país</t>
  </si>
  <si>
    <t>Automático</t>
  </si>
  <si>
    <t>Oportunidad en el cargue de cursos de reeducación
Cantidad de cursos liquidados/Cantidad de cursos cargados oportunamente en el SIMIT</t>
  </si>
  <si>
    <t xml:space="preserve">Entre 10 y 50 SMLMV </t>
  </si>
  <si>
    <t>Correctivo</t>
  </si>
  <si>
    <t xml:space="preserve">Bases de datos
Software
Hardware
Informes
Resoluciones
PQRSD
Gestor Normativo
Historias laborales
Historias parque automotor
Actas
Auditorias
Procesos 
Conceptos jurídicos
Estudios
Informes de evaluación
Conceptos Técnicos 
Tokens
Control de acceso
Planillas 
</t>
  </si>
  <si>
    <t>El profesional universitario de TIC realiza los mantenimientos programados al servidor de acuerdo al Plan de Mantenimiento Institucional</t>
  </si>
  <si>
    <t>Contravenciones</t>
  </si>
  <si>
    <t>Posibilidad de afectación reputacional por requerimiento de la Federación Colombiana de Municipios debido al incumplimiento en la entrega de la información del recaudo local del Instituto de Tránsito del Atlántico</t>
  </si>
  <si>
    <t>La profesional especializada del área de contravenciones realiza el informe de recaudo local dentro de los 10 primeros días de cada mes con el fin de enviarlo a la oficina financiera para su respectivo pago</t>
  </si>
  <si>
    <t xml:space="preserve">Cantidad de informes de recaudo local entregados  </t>
  </si>
  <si>
    <t>El proveedor del software contravencional revisa la parametrización del sistema con el fin de evidenciar que la información esté bien distribuida para los diferentes entes competentes (ITA, POCAL Y SIMIT)</t>
  </si>
  <si>
    <t>El proveedor del software contravencional regenera la información de la distribución del recaudo para cada ente competente con el fin de dar cumplimiento a todos los requerimientos nacionales</t>
  </si>
  <si>
    <t>Mayor</t>
  </si>
  <si>
    <t>Estados financieros emitidos diariamente.</t>
  </si>
  <si>
    <t>Posibilidad de afectación económica por requerimientos de entes de control (contraloria departamental del Atlántico) e investigaciones disciplinarias debido al no saneamiento de la cartera vencida superior a 5 años</t>
  </si>
  <si>
    <t xml:space="preserve">Entre 50 y 100 SMLMV </t>
  </si>
  <si>
    <t>El subdirector administrativo y financiero implementa los procedimientos de control de cartera</t>
  </si>
  <si>
    <t>Posibilidad de afectación reputacional por la no realización oportuna del trámite debido a la demora en el envio de los historiales del parque automotor generando retrasos en los procedimientos de trámite y pérdida de clientes</t>
  </si>
  <si>
    <t>Oportunidad en la prestación del servicio de trámite</t>
  </si>
  <si>
    <t>Posibilidad de afectación económica y reputacional por pérdida de la imagen instiucional y confianza por parte de la ciudadanía debido a que las impresoras están conectadas al servidor central efectando la realización del trámite cuando se va la energia en el sede principal.</t>
  </si>
  <si>
    <t xml:space="preserve">Historial del parque automotor </t>
  </si>
  <si>
    <t>La subdirección administrativa y financiera realiza los mantenimientos a la planta electrica con el fin de evitar retrocesos en la prestación del servicio de trámite</t>
  </si>
  <si>
    <t>Muy Alta</t>
  </si>
  <si>
    <t>El profesional universitario de TIC activa automáticamente el canal secundario para reestablecer el servicio de internet y el envío del servicio de impresiones a los equipos.</t>
  </si>
  <si>
    <t>Posibilidad de afectación económica y reputacional por pérdida de imagen institucional y confianza de la ciudadanía por la paralización del servicio debido a daños a los activos fijos por inundaciones durante la temporada de lluvia y elementos de confortabilidad y confiabilidad por infraestructura deteriorada y no adecuada para la prestación del servicio de trámite.</t>
  </si>
  <si>
    <t>Daños a activos fijos</t>
  </si>
  <si>
    <t>hardware
imoresoras</t>
  </si>
  <si>
    <t xml:space="preserve">La subdirección administrativa y financiera realiza mantenimiento de acuerdo al plan de mantenimiento de la entidad </t>
  </si>
  <si>
    <t>Posibilidad de afectación reputacional por pérdida de clientes (concesionarios de vehículos y escuelas de conducción) debido a la atención inoportuna de la solicitud del trámite (matrícula inicial y la expedición de licencia de conducción)</t>
  </si>
  <si>
    <t>El profesional de apoyo a la gestión comercial realiza análisis de la prestación de servicios en la sede de atención operativo para realizar mejoras con el fin de optimizar los procesos de atención y mejorar los indicadores de gestión comercial como evidencia se genera reporte de turnos diarios y atención por ventanillas para nivelar cargas y tiempos de atención.</t>
  </si>
  <si>
    <t>El profesional de apoyo a la gestión comercial realiza análisis de los indicadores de gestión comercial de acuerdo a las mejoras implementadas dejando como registro informe de la gestión desarrollada</t>
  </si>
  <si>
    <t>Detectivo</t>
  </si>
  <si>
    <t>Riesgos de corrupción eliminados</t>
  </si>
  <si>
    <t>Riesgos de Gestión y Seguridad de la Información eliminados</t>
  </si>
  <si>
    <t>Referencia</t>
  </si>
  <si>
    <t>proceso</t>
  </si>
  <si>
    <t xml:space="preserve">Impacto </t>
  </si>
  <si>
    <t>Causa inmediata</t>
  </si>
  <si>
    <t>Causa raíz</t>
  </si>
  <si>
    <t>descripción del riesgo</t>
  </si>
  <si>
    <t>tipologia del riesgo</t>
  </si>
  <si>
    <t>clasificación del riesgo</t>
  </si>
  <si>
    <t>Activo de información</t>
  </si>
  <si>
    <t>Frecuencia con la que se realiza la actividad</t>
  </si>
  <si>
    <t>Probabilidad inherente</t>
  </si>
  <si>
    <t>Impacto inherente</t>
  </si>
  <si>
    <t>Zona de riesgo inherente</t>
  </si>
  <si>
    <t>N° control</t>
  </si>
  <si>
    <t>Descripción del control</t>
  </si>
  <si>
    <t>tipo</t>
  </si>
  <si>
    <t>Probabilidad residual</t>
  </si>
  <si>
    <t>% Probabilidad Residual Final</t>
  </si>
  <si>
    <t>Impacto residual</t>
  </si>
  <si>
    <t>% Impacto Residual Final</t>
  </si>
  <si>
    <t>Zona de riesgo Final</t>
  </si>
  <si>
    <t>Plan de acción</t>
  </si>
  <si>
    <t>Fecha de implementación</t>
  </si>
  <si>
    <t>Fecha de seguimiento 
Inicio/Fin</t>
  </si>
  <si>
    <t>Seguimientos realizados</t>
  </si>
  <si>
    <t>Indicador</t>
  </si>
  <si>
    <t>Desempeño del control</t>
  </si>
  <si>
    <t>Gestión Gerencial</t>
  </si>
  <si>
    <t>Reputacional y económico</t>
  </si>
  <si>
    <t>Posibilidad de afectación económica y reputacional por sanciones disciplinarias e investigaciones por parte de los organismos de control debido a la emisión de políticas institucionales sin los requerimientos de ley.</t>
  </si>
  <si>
    <t xml:space="preserve">Mayor a 500 SMLMV </t>
  </si>
  <si>
    <t xml:space="preserve">El Director del ITA verifica las competencias, la misión institucional, estudios sectoriales y lineas de acción de las inversiones para no incurrir en un objeto que se salga de las funciones como organismo de tránsito con el fin de determinar el plan estratégico y su alcance dejando como evidencia el plan de acción, presupuesto aprobado y acta de autorización de junta </t>
  </si>
  <si>
    <t>Probabilidad</t>
  </si>
  <si>
    <t>Todo el año</t>
  </si>
  <si>
    <t>Polìticas institucionales llevadas a cabo dentro del los requisitos</t>
  </si>
  <si>
    <t>Posibilidad de afectación económica y reputacional por sanciones disciplinarias e investigaciones por parte de los organismos de control debido al incumplimiento del plan estratégico institucional (Plataforma estratégica: misión, visión, principios, valores, objetivos estratégicos, objetivos institucionales y metas ) y el presupuesto para su consecución</t>
  </si>
  <si>
    <t>El profesional especializado de planeación realiza seguimiento trimestral al cumplimiento de los planes de acción de cada área, incluyendo cumplimiento de metas  y  la  ejecución  de  los  recursos presupuestados, controla el nivel de cumplimiento de las metas establecidas en los planes de acción dejando como evidencia informe de cumplimiento de los planes de acción presentado a la Alta Dirección</t>
  </si>
  <si>
    <t>Impacto</t>
  </si>
  <si>
    <t>Porcentaje de cumplimiento de metas institucionales.
Medición impacto de la misión institucional</t>
  </si>
  <si>
    <t>El director del ITA realiza seguimiento a los indicadores institucionales de acuerdo al informe previamente presentado por la OAP.</t>
  </si>
  <si>
    <t>Posibilidad de afectación económica y reputacional por sanciones disciplinarias e investigaciones por parte de los organismos de  control e incumplimiento de metas institucionales debido a la interrupción en la ejecución y avance de los planes institucionales y estratégicos por no contar con los recursos suficientes para su ejecución y la sobreestimación del presupuesto</t>
  </si>
  <si>
    <t>El Director del ITA somete a la aprobación de la Junta Directiva  el presupuesto con base en los recaudos proyectados, los rubros afectados y la ejecución presupuestal</t>
  </si>
  <si>
    <t>Porcentaje de cumplimiento de planes institucionales</t>
  </si>
  <si>
    <t>Reputacional</t>
  </si>
  <si>
    <t>El profesional especializado de planeación realiza convocatoria a todos los grupos de valor dejando como evidencia los documentos enviados y los medios por los cuales se realizó.</t>
  </si>
  <si>
    <t>No iniciado</t>
  </si>
  <si>
    <t xml:space="preserve">Cumplimiento en el abordaje de lineamientos de Rendición de cuentas </t>
  </si>
  <si>
    <t>El profesional especializado de planeación en conjunto con los líderes de los procesos formulan las acciones relacionadas con el componente 3 del Plan Anticorrupción y Atención al Ciudadano y solicita  a las dependencias la información a socializar a la ciudadanía.</t>
  </si>
  <si>
    <t>Publicar los informes de resultado y los documentos anexos al cumplimiento de rendición de cuentas de manera continua en la pagína web de la entidad, dirigida a toda la ciudadania.</t>
  </si>
  <si>
    <t>Mapa Riesgos Institucional
Riesgos de gestión y seguridad de la información 2022</t>
  </si>
  <si>
    <t>Seguridad digital</t>
  </si>
  <si>
    <t>Pérdida Reputacional</t>
  </si>
  <si>
    <t>El riesgo afecta la imagen de de la entidad con efecto publicitario sostenido a nivel de sector administrativo, nivel departamental o municipal</t>
  </si>
  <si>
    <t>GESTIÓN Y SEGURIDAD DE LA INFORMACIÓN</t>
  </si>
  <si>
    <t>Finalizado</t>
  </si>
  <si>
    <t>Económico</t>
  </si>
  <si>
    <t>Corrupción</t>
  </si>
  <si>
    <t>Fraude externo</t>
  </si>
  <si>
    <t>Afectación Económica (o presupuestal)</t>
  </si>
  <si>
    <t>Evitar</t>
  </si>
  <si>
    <t>Seguridad de la información</t>
  </si>
  <si>
    <t>Fraude interno</t>
  </si>
  <si>
    <t>Fiscales</t>
  </si>
  <si>
    <t>Contables</t>
  </si>
  <si>
    <t xml:space="preserve">Entre 100 y 500 SMLMV </t>
  </si>
  <si>
    <t>Relaciones laborales Usuarios, productos y prácticas</t>
  </si>
  <si>
    <t>anciones disciplinarias e investigaciones por parte de los organismos de control</t>
  </si>
  <si>
    <t>emisión de políticas institucionales sin los requerimientos de ley.</t>
  </si>
  <si>
    <t xml:space="preserve">sanciones disciplinarias e investigaciones por parte de los organismos de control </t>
  </si>
  <si>
    <t xml:space="preserve"> incumplimiento del plan estratégico institucional (Plataforma estratégica: misión, visión, principios, valores, objetivos estratégicos, objetivos institucionales y metas ) y el presupuesto para su consecución</t>
  </si>
  <si>
    <t xml:space="preserve">sanciones disciplinarias e investigaciones por parte de los organismos de  control e incumplimiento de metas institucionales </t>
  </si>
  <si>
    <t xml:space="preserve"> interrupción en la ejecución y avance de los planes institucionales y estratégicos por no contar con los recursos suficientes para su ejecución y la sobreestimación del presupuesto</t>
  </si>
  <si>
    <t>investigación disciplinaria de entes de control y aumento de quejas y reclamos de los grupos de valor</t>
  </si>
  <si>
    <t xml:space="preserve">realización de la rendición de cuentas fuera los lineamientos del Manual único de Rendición de cuentas y acciones relacionadas en el componente 3 del PAAC. </t>
  </si>
  <si>
    <t xml:space="preserve">Posibilidad de afectación reputacional por investigación disciplinaria de entes de control y aumento de quejas y reclamos de los grupos de valor debido a la realización de la rendición de cuentas fuera los lineamientos del Manual único de Rendición de cuentas y acciones relacionadas en el componente 3 del PAAC. </t>
  </si>
  <si>
    <t>Nivel de avance del IDI</t>
  </si>
  <si>
    <t xml:space="preserve">Porcentaje de cumplimiento de metas institucionales.
Alineación de metas institucionales con las metas departamentales
</t>
  </si>
  <si>
    <t>Posibilidad de afectación económica y reputacional por sanciones disciplinarias, legales, penales y fiscales debido a la materialización de los riesgos institucionales por el no monitoreo de los controles establecidos.</t>
  </si>
  <si>
    <t>Cuatrimestral</t>
  </si>
  <si>
    <t>Desempeño del control
# eventos /frecuencia del riesgo</t>
  </si>
  <si>
    <t>Cargue de tramites en SUIT
Numero de tramites actualizados/Total de tramites inscritos en el SUIT</t>
  </si>
  <si>
    <t xml:space="preserve">Posibilidad de afectación económica por pérdida de recursos invertidos en proyectos de generación y producción de conocimiento debido a la débil implementación del ciclo de conocimiento, no realización de pruebas piloto, prototipos o experimentos para comprobar y analizar la viabilidad de los proyectos </t>
  </si>
  <si>
    <t>No existen controles para mitigar el riesgo</t>
  </si>
  <si>
    <t>Posibilidad de afectación reputacional por pérdida de credibilidad de la Entidad hacia los grupos de valor, Fuga de conocimiento estratégico en los grupos de valor y desaprovechamiento de la producción intelectual y material debido al uso inapropiado de las herramientas para la gestión del conocimiento</t>
  </si>
  <si>
    <t>Porcentaje de implementación del Plan de acción de la gestión del conocimiento</t>
  </si>
  <si>
    <t>Porcentaje de documentos publicados
Numero de documentos publicados/Total de documentos a publicar*100</t>
  </si>
  <si>
    <t xml:space="preserve"> posibles investigación de los entes de control </t>
  </si>
  <si>
    <t xml:space="preserve"> formulación y ejecución de los planes, programas o proyectos institucionales del ITA, fuera de lo establecido en el plan de desarrollo departamental desatendiendo las necesidades reales de la entidad, la misionalidad y la consecución de los objetivos estratégicos del ITA, por demoras en la entrega de la información por parte de los líderes de procesos y dificultades o fallas en la planeación estratégica que orienten y brinden un marco de referencia claro a seguir, en el desarrollo de las actividades, operaciones y/u objetivos.</t>
  </si>
  <si>
    <t>sanciones disciplinarias, legales, penales y fiscales</t>
  </si>
  <si>
    <t xml:space="preserve"> materialización de los riesgos institucionales por el no monitoreo de los controles establecidos.</t>
  </si>
  <si>
    <t>pérdida de credibilidad de la Entidad hacia los grupos de valor, Fuga de conocimiento estratégico en los grupos de valor y desaprovechamiento de la producción intelectual y material</t>
  </si>
  <si>
    <t>uso inapropiado de las herramientas para la gestión del conocimiento</t>
  </si>
  <si>
    <r>
      <rPr>
        <b/>
        <sz val="10"/>
        <color theme="1"/>
        <rFont val="Calibri"/>
        <family val="2"/>
        <scheme val="minor"/>
      </rPr>
      <t>RESPONSABLE</t>
    </r>
    <r>
      <rPr>
        <sz val="10"/>
        <color theme="1"/>
        <rFont val="Calibri"/>
        <family val="2"/>
        <scheme val="minor"/>
      </rPr>
      <t xml:space="preserve">
¿Existe un responsable asignado a la ejecución del control?</t>
    </r>
  </si>
  <si>
    <r>
      <rPr>
        <b/>
        <sz val="10"/>
        <color theme="1"/>
        <rFont val="Calibri"/>
        <family val="2"/>
        <scheme val="minor"/>
      </rPr>
      <t>RESPONSABLE</t>
    </r>
    <r>
      <rPr>
        <sz val="10"/>
        <color theme="1"/>
        <rFont val="Calibri"/>
        <family val="2"/>
        <scheme val="minor"/>
      </rPr>
      <t xml:space="preserve">
¿El responsable tiene la autoridad y adecuada segregación de funciones en la ejecución del control?</t>
    </r>
  </si>
  <si>
    <r>
      <rPr>
        <b/>
        <sz val="10"/>
        <color theme="1"/>
        <rFont val="Calibri"/>
        <family val="2"/>
        <scheme val="minor"/>
      </rPr>
      <t>PERIODICIDAD</t>
    </r>
    <r>
      <rPr>
        <sz val="10"/>
        <color theme="1"/>
        <rFont val="Calibri"/>
        <family val="2"/>
        <scheme val="minor"/>
      </rPr>
      <t xml:space="preserve">
¿La oportunidad en que se ejecuta el control ayuda a prevenir la mitigación del riesgo o a detectar la materialización del riesgo de manera oportuna?</t>
    </r>
  </si>
  <si>
    <r>
      <rPr>
        <b/>
        <sz val="10"/>
        <color theme="1"/>
        <rFont val="Calibri"/>
        <family val="2"/>
        <scheme val="minor"/>
      </rPr>
      <t>PROPÓSITO</t>
    </r>
    <r>
      <rPr>
        <sz val="10"/>
        <color theme="1"/>
        <rFont val="Calibri"/>
        <family val="2"/>
        <scheme val="minor"/>
      </rPr>
      <t xml:space="preserve">
¿Las actividades que se desarrollan en el control realmente buscan por si sola prevenir o detectar las causas que pueden dar origen al riesgo, Ej.: verificar, validar, cotejar, comparar, revisar, etc.?</t>
    </r>
  </si>
  <si>
    <r>
      <rPr>
        <b/>
        <sz val="10"/>
        <color theme="1"/>
        <rFont val="Calibri"/>
        <family val="2"/>
        <scheme val="minor"/>
      </rPr>
      <t>COMO SE REALIZA</t>
    </r>
    <r>
      <rPr>
        <sz val="10"/>
        <color theme="1"/>
        <rFont val="Calibri"/>
        <family val="2"/>
        <scheme val="minor"/>
      </rPr>
      <t xml:space="preserve">
¿La fuente de información que se utiliza en el desarrollo del control es información confiable que permita mitigar el riesgo?</t>
    </r>
  </si>
  <si>
    <r>
      <rPr>
        <b/>
        <sz val="10"/>
        <color theme="1"/>
        <rFont val="Calibri"/>
        <family val="2"/>
        <scheme val="minor"/>
      </rPr>
      <t>QUÉ PASA CON LAS OBSERVACIONES O DESVIACIONES</t>
    </r>
    <r>
      <rPr>
        <sz val="10"/>
        <color theme="1"/>
        <rFont val="Calibri"/>
        <family val="2"/>
        <scheme val="minor"/>
      </rPr>
      <t xml:space="preserve">
¿Las observaciones, desviaciones o diferencias identificadas como resultados de la ejecución del control son investigadas y resueltas de manera oportuna?</t>
    </r>
  </si>
  <si>
    <r>
      <rPr>
        <b/>
        <sz val="10"/>
        <color theme="1"/>
        <rFont val="Calibri"/>
        <family val="2"/>
        <scheme val="minor"/>
      </rPr>
      <t>EVIDENCIA</t>
    </r>
    <r>
      <rPr>
        <sz val="10"/>
        <color theme="1"/>
        <rFont val="Calibri"/>
        <family val="2"/>
        <scheme val="minor"/>
      </rPr>
      <t xml:space="preserve">
¿Se deja evidencia o rastro de la ejecución del control que permita a cualquier tercero con la evidencia llegar a la misma conclusión?</t>
    </r>
  </si>
  <si>
    <r>
      <rPr>
        <b/>
        <sz val="10"/>
        <color theme="1"/>
        <rFont val="Calibri"/>
        <family val="2"/>
        <scheme val="minor"/>
      </rPr>
      <t>*Fuerte</t>
    </r>
    <r>
      <rPr>
        <sz val="10"/>
        <color theme="1"/>
        <rFont val="Calibri"/>
        <family val="2"/>
        <scheme val="minor"/>
      </rPr>
      <t xml:space="preserve">: El control se ejecuta de manera consistente por parte del responsable.
</t>
    </r>
    <r>
      <rPr>
        <b/>
        <sz val="10"/>
        <color theme="1"/>
        <rFont val="Calibri"/>
        <family val="2"/>
        <scheme val="minor"/>
      </rPr>
      <t>Moderado</t>
    </r>
    <r>
      <rPr>
        <sz val="10"/>
        <color theme="1"/>
        <rFont val="Calibri"/>
        <family val="2"/>
        <scheme val="minor"/>
      </rPr>
      <t xml:space="preserve">: El control se ejecuta algunas veces por parte del responsable.
</t>
    </r>
    <r>
      <rPr>
        <b/>
        <sz val="10"/>
        <color theme="1"/>
        <rFont val="Calibri"/>
        <family val="2"/>
        <scheme val="minor"/>
      </rPr>
      <t>Débil</t>
    </r>
    <r>
      <rPr>
        <sz val="10"/>
        <color theme="1"/>
        <rFont val="Calibri"/>
        <family val="2"/>
        <scheme val="minor"/>
      </rPr>
      <t>: El control no se ejecuta por parte del responsable.</t>
    </r>
  </si>
  <si>
    <t>Mapa Riesgos Institucional
Riesgos de corrupción 2022</t>
  </si>
  <si>
    <t>1c</t>
  </si>
  <si>
    <t>Políticas de seguridad de información divulgadas</t>
  </si>
  <si>
    <t>Gestión de recursos e infraestructura - subproceso Administrativo</t>
  </si>
  <si>
    <t>El auxiliar administrativo efectua mensualmente la actualizacion de las entradas y salidas de almacén tanto física como sistemáticamente, dejando como evidencia los soportes automáticos de los insumos generados por SIIAFE y el formato de solicitud y entrega diligenciado y firmado</t>
  </si>
  <si>
    <t>Solicitudes de insumos atendidos
Elementos efectivamente entregados/Elementos solicitados</t>
  </si>
  <si>
    <t>El auxiliar administrativo realiza verificación de inventario de insumos del instituto a comienzo del año y realiza la proyección de consumo mensual para la vigencia, teniendo en cuenta el consumo histórico.</t>
  </si>
  <si>
    <t>detrimento patrimonial lo que llevaría a sanciones fiscales por deterioro del inventario físico</t>
  </si>
  <si>
    <t>no realización de mantenimientos preventivos y correctivos establecidos en el plan de mantenimiento de la entidad.</t>
  </si>
  <si>
    <t>Posibilidad de afectación reputacional y económico a causa del detrimento patrimonial lo que llevaría a sanciones fiscales por deterioro del inventario físico debido la no realización de mantenimientos preventivos y correctivos establecidos en el plan de mantenimiento de la entidad.</t>
  </si>
  <si>
    <t>la subdireccion administrativa y financiera  identifica las necesidades y verifica semestralmente el cumplimiento del cronograma definido a través del plan de mantenimiento, dejando como evidencia el seguimiento semestral</t>
  </si>
  <si>
    <t>Programa de mtto ejecutado
Mantenimientos realizados/mantenimientos programados</t>
  </si>
  <si>
    <t>El Subdirector Administrativo y financiero deberá  justificar la necesidad de contratar lo suscrito en el plan de mantenimiento anual de la entidad, de acuerdo a cada  tipo de mantenimiento o servicio requerido.</t>
  </si>
  <si>
    <t>pérdida de imagen institucional frente a usuarios internos, externos y directivos</t>
  </si>
  <si>
    <t>falta de personal para realizar labores de servicios generales, de aseo y limpieza.</t>
  </si>
  <si>
    <t>Posibilidad de afectación reputacional  por pérdida de imagen institucional frente a usuarios internos, externos y directivos, por la falta de personal para realizar labores de servicios generales, de aseo y limpieza.</t>
  </si>
  <si>
    <t>La subdireccion administrativa y financiera solicita ,la necesidad de vincular apoyo de aseo y servicios generales para las sedes de la entidad.</t>
  </si>
  <si>
    <t>Disponibilidad del personal
Personal disponible/personal necesario</t>
  </si>
  <si>
    <t>perdida de imagen con los usuarios internos y externos, así como la interrupción de la prestación del servicio</t>
  </si>
  <si>
    <t>falta de pago de los servicios públicos para el correcto funcionamiento de la entidad.</t>
  </si>
  <si>
    <t>Posibilidad de afectación reputacional por perdida de imagen con los usuarios internos y externos, así como la interrupción de la prestación del servicio por la falta de pago de los servicios públicos para el correcto funcionamiento de la entidad.</t>
  </si>
  <si>
    <t>El profesional del área realiza el seguimiento mensual  de la asignación presupuestal para amparar el pago de los servicios públicos, dejando como evidencia  los CDPs</t>
  </si>
  <si>
    <t>Servicios públicos pagados
facturas pagadas/servicios facturados</t>
  </si>
  <si>
    <t>La tesorera realiza seguimiento a la recepción de las facturas de los servicios públicos con el fin de realizar los pagos correcpondientes, dejando como evidencia comprobantes de pago.</t>
  </si>
  <si>
    <t>disminución o pérdida, total o parcial del patrimonio y bienes de la entidad</t>
  </si>
  <si>
    <t xml:space="preserve">eventuales siniestralidades </t>
  </si>
  <si>
    <t xml:space="preserve">Posibilidad de afectación económica por disminución o pérdida, total o parcial del patrimonio y bienes de la entidad debido a eventuales siniestralidades </t>
  </si>
  <si>
    <t>El Subdirector Administrativo y financiero realiza la toma de las polizas de seguro emitidas por la aseguradora con el fin de resguardar el patrimonio y bienes institucionales ante una eventual siniestralidad</t>
  </si>
  <si>
    <t>Bienes asegurados/inventario de propiedad, planta y equipos</t>
  </si>
  <si>
    <t>El Subdirector Administrativo y financiero elabora el plan de gestión del riesgo de desastres el cual contiene las medidas preventivas para la mitigación de riesgos asociados a la pérdida parcial o total de los bienes y patrimonio de la entidad</t>
  </si>
  <si>
    <t xml:space="preserve">sanciones disciplinarias, fiscales y penales por entes de control </t>
  </si>
  <si>
    <t xml:space="preserve">uso indebido de los recursos asignados en el fondo de caja menor </t>
  </si>
  <si>
    <t xml:space="preserve">Posibilidad de afectación económica por sanciones disciplinarias, fiscales y penales por entes de control por el uso indebido de los recursos asignados en el fondo de caja menor </t>
  </si>
  <si>
    <t>La Entidad adquiere dentro del programa de seguro, se incluye una póliza de manejo y se amparan los funcionarios responsables de la caja menor dejando como evidencia la póliza tomada.</t>
  </si>
  <si>
    <t>Ejecución de caja menor
N° de legalizaciones/N° de desembolsos</t>
  </si>
  <si>
    <t>El profesional universitario de presupuesto revisa mensualmente los soportes de legalización de la caja menor dejando como evidencia formato de legalización de caja menor</t>
  </si>
  <si>
    <t>4c</t>
  </si>
  <si>
    <t>Fallas en la cultura de la probidad que generan Afectación de la 
integridad de las 
entidades y la 
confianza de los 
ciudadanos</t>
  </si>
  <si>
    <t>Recibir dádivas o beneficios a nombre propio o de terceros por el no cumplimiento de las obligaciones  de los contratos  supervisados por la subdireccion administrativa y financiera</t>
  </si>
  <si>
    <t>El subdirector administrativo y financiero realiza seguimiento a la ejeucicón de acuerdo a lo establecido en el contrato dejando como evidencia actas de seguimiento, formato de supervision e informes de actividades,  entradas de almacen e informe de actividades o reportes dependendiendo los bienes o servicios adquiridos.</t>
  </si>
  <si>
    <t xml:space="preserve"> pérdida de confianza por parte de la ciudadanía al igual que posibles investigaciones por entes de control</t>
  </si>
  <si>
    <t>demoras en el cargue de la información de los cursos realizados en la CIA del tránsito del Atlántico.</t>
  </si>
  <si>
    <t>pérdida de confianza por parte de la ciudadanía</t>
  </si>
  <si>
    <t>Prestación del servicio de cursos sobre normas de tránsito sin el cumplimiento de los requisitos legales y lineamientos internos y externos.</t>
  </si>
  <si>
    <t>Posibilidad de afectación reputacional por pérdida de confianza por parte de la ciudadanía,  debido a la  Prestación del servicio de cursos sobre normas de tránsito sin el cumplimiento de los requisitos legales y lineamientos internos y externos.</t>
  </si>
  <si>
    <t>Cantidad de cursos desarroladosde acuerdo a los lineamientos de tránsito establecido</t>
  </si>
  <si>
    <t>3c</t>
  </si>
  <si>
    <t>Fallas en la cultura de la probidad que generan Afectación de la integridad de las entidades y la confianza de los ciudadanos</t>
  </si>
  <si>
    <t>Posibilidad de recibir dádivas o beneficios a nombre propio o de terceros por la no realización del curso de reeducación al ciudadano a infractores de normas de tránsito.</t>
  </si>
  <si>
    <t>Cantidad de comparendos pagados con descuentos/Cantidad de infractores que realizaron el curso.</t>
  </si>
  <si>
    <t>Segùn seguimiento</t>
  </si>
  <si>
    <t>Gestión de recursos e infraestructura - subproceso Contratación</t>
  </si>
  <si>
    <t xml:space="preserve"> multa, sanciones disciplinarias, fiscales y penales por parte del organismo de control </t>
  </si>
  <si>
    <t>debido a la planeación, adquisición y liquidación de bienes y servicios fuera de los requerimientos normativos de acuerdo a las modalidad de contratación y el lleno de requisitos legales.</t>
  </si>
  <si>
    <t>Posibilidad de afectación económica por multa, sanciones disciplinarias, fiscales y penales por parte del organismo de control debido a la planeación, adquisición y liquidación de bienes y servicios fuera de los requerimientos normativos de acuerdo a las modalidad de contratación y el lleno de requisitos legales.</t>
  </si>
  <si>
    <t>El profesional especializado de la oficina de contratación verifica que las obligaciones del contrato concuerden con el objeto contractual</t>
  </si>
  <si>
    <t>El profesional especializado de la oficina de contratación verifica que las propuestas presentadas cumplan con los requisitos de orden jurídico y coordinará con las áreas responsables los requisitos técnicos y económicos con el fin de comunicar la aceptación de la oferta o la adjudicación del contrato.</t>
  </si>
  <si>
    <t>el Profesional especializado verifica que el análisis del sector y estudios previos emitido por la dependencia que presenta la necesidad cumpla con los requisitos normativos.</t>
  </si>
  <si>
    <t>El profesional del área de contratos verifica que la información suministrada por el proveedor o contratista corresponda con los requisitos establecidos de contratación según la modalidad de contratación a través de una lista de chequeo donde están los requisitos mínimos habilitantes y la revisión con la información física suministrada por el proveedor y/o contratista, se realiza verificación de antecedentes y veracidad de la información suministrada, los contratos que cumplen son registrados en el sistema de información de contratación.</t>
  </si>
  <si>
    <t xml:space="preserve">El profesional especializado de contratación verifica que las contrataciones tengan la disponibilidad y registro presupuestal </t>
  </si>
  <si>
    <t>multa o sanciones disciplinarias, fiscales y penales por parte de organismo de control</t>
  </si>
  <si>
    <t>contratación de servicios profesionales sin justificación de necesidad según plan de acción institucional del área solicitante, insuficiencia de la entidad y programación en el PAA.</t>
  </si>
  <si>
    <t>Posibilidad de afectación reputacional y económica por multa o sanciones disciplinarias, fiscales y penales por parte de organismo de control debido a la contratación de servicios profesionales sin justificación de necesidad según plan de acción institucional del área solicitante, insuficiencia de la entidad y programación en el PAA.</t>
  </si>
  <si>
    <t>Cantidad de contratos de prestación de servicios profesionales con justificación de necesidad en PAA según plan de acción e insuficiencia del ITA.</t>
  </si>
  <si>
    <t xml:space="preserve">pérdida de integridad de la información </t>
  </si>
  <si>
    <t xml:space="preserve">errores en el cargue de documentos al sistema facilitado por fallas en las revisiones y validaciones en los documentos cargados al sistema </t>
  </si>
  <si>
    <t xml:space="preserve">Posibilidad de afectación reputacional por pérdida de integridad de la información debido a errores en el cargue de documentos al sistema facilitado por fallas en las revisiones y validaciones en los documentos cargados al sistema </t>
  </si>
  <si>
    <t>Expedientes contractuale SECOP</t>
  </si>
  <si>
    <t>El profesional especializado de contratación revisa los documentos del expediente antes de ser cargados al Sistema SECOP por los abogados de la oficina de contratación.
Las actividades de cargue de información en el sistema SECOP están asignadas según modadlidad de contratación.</t>
  </si>
  <si>
    <t>Porcentaje de documentos cargados en el sistema SECOP de acuerdo a los parámetros tecnológicos establecidos en la aplicación.</t>
  </si>
  <si>
    <t>pérdida de disponibilidad de información</t>
  </si>
  <si>
    <t xml:space="preserve"> pérdida o hurto de la información por deficiencia en la seguridad física de los documentos y ausencia de copias de respaldo o copias de respaldo corruptas </t>
  </si>
  <si>
    <t xml:space="preserve">Posibilidad de afectación reputacional por pérdida de disponibilidad de información debido a  la pérdida o hurto de la información por deficiencia en la seguridad física de los documentos y ausencia de copias de respaldo o copias de respaldo corruptas </t>
  </si>
  <si>
    <t>Actas de comité contratación
Acuerdos
Expediente contractual SECOP
Actas de liquidacion de contratos.
Respuestas a derechos de petición</t>
  </si>
  <si>
    <t>Las actas físicas y demas documentos contractuales quedan guardadas en el archivo de gestión de la Oficina de contratacióny de acuerdo al procedimiento se trasladan al archivo central del ITA, estos documentos permanecen custodiados en gavetas bajo llave dejando como evidencia la lista de chequeo de los documentos asociados a cada proceso de selección
La custodia de los documentos en el archivo central es responsabilidad del grupo de gestión documental.</t>
  </si>
  <si>
    <t>Porcentaje de documentos hurtados EN EL ARCHIVO DE GESTIÓN DE CONTRATACIÓN</t>
  </si>
  <si>
    <t xml:space="preserve"> multa o sanciones disciplinarias, fiscales y penales por parte de organismo de control</t>
  </si>
  <si>
    <t>entrega de anticipos o pagos anticipados sin la correcta aprobación del Plan de Inversión o aprobación de las garantías dispuestas en la norma para la cobertura del riesgo.</t>
  </si>
  <si>
    <t>Posibilidad de afectación económica  por multa o sanciones disciplinarias, fiscales y penales por parte de organismo de control por la entrega de anticipos o pagos anticipados sin la correcta aprobación del Plan de Inversión o aprobación de las garantías dispuestas en la norma para la cobertura del riesgo.</t>
  </si>
  <si>
    <t>Anticipos pagados que cumplen con el lleno de requisitos.</t>
  </si>
  <si>
    <t>5c</t>
  </si>
  <si>
    <t>Pliegos de condiciones o estudios previos hechos a la medida de una firma en particular, falta de control y seguimiento a la elaboración de los pliegoso estudios previos por parte de quienes tienen la función de realizarlos, o excesiva confianza en los servidores que elaboran estos documentos.</t>
  </si>
  <si>
    <t>Posibilidad de recibir o solicitar cualquier dádiva o beneficio a nombre propio o de terceros con el fin celebrar un contrato debido a Pliegos de condiciones o estudios previos hechos a la medida de una firma en particular, falta de control y seguimiento a la elaboración de los pliegos o estudios previos por parte de quienes tienen la función de realizarlos, o excesiva confianza en los servidores que elaboran estos documentos.</t>
  </si>
  <si>
    <t>Entre 6 y 11 criterios para calificar el impacto son afirmativos. Genera un impacto mayor</t>
  </si>
  <si>
    <t>Para la etapa precontractual, El profesional especializado de contratación, valida los estudios previos presentados por los líderes de proceso responsables de acuerdo con la modalidad de contratación en cada caso, lo que permite continuar con las etapas subsiguientes de los procesos contractuales correspondientes.</t>
  </si>
  <si>
    <t>Porcentaje de bienes y/o servicios adquiridos con estudios previos que no cumplen con los requisitos.</t>
  </si>
  <si>
    <t>Para la etapa contractual, el profesional especializado de contratación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asignado.</t>
  </si>
  <si>
    <t>Gestión Documental</t>
  </si>
  <si>
    <t>multas y sanciones de entes de control por la pérdida de confidencialidad</t>
  </si>
  <si>
    <t xml:space="preserve">divulgación de los datos sensibles de las personas que se encuentran en los expedientes de los vehículos por permisos no autorizados de acceso a la información clasificada o de uso restringido, incumplimiento de los controles definidos en el proceso, desconocimientos de los procesos de gestión documental, desconocimiento del nivel de clasificación o reserva de la información, fallas en los controles de acceso físico a la información y ausencia de controles para el manejo de la información. </t>
  </si>
  <si>
    <t xml:space="preserve">Posibilidad de afectación económica y reputacional por multas y sanciones de entes de control por la pérdida de confidencialidad debido a la divulgación de los datos sensibles de las personas que se encuentran en los expedientes de los vehículos por permisos no autorizados de acceso a la información clasificada o de uso restringido, incumplimiento de los controles definidos en el proceso, desconocimientos de los procesos de gestión documental, desconocimiento del nivel de clasificación o reserva de la información, fallas en los controles de acceso físico a la información y ausencia de controles para el manejo de la información. </t>
  </si>
  <si>
    <t xml:space="preserve">Bases de datos
Expedientes vehiculares </t>
  </si>
  <si>
    <t>% peticiones, quejas o reclamos por divulgación de información clasificada o de uso restringido</t>
  </si>
  <si>
    <t xml:space="preserve"> sanciones del ente de control afectación en la operación del proceso de gestión documental, reprocesos, retrasos o demoras en las respuestas a las PQRS de los usuarios</t>
  </si>
  <si>
    <t>no disponibilidad de la información de manera oportuna en caso de ser requerida por algún ciudadano o ente de control por pérdida o hurto de los expedientes documentales y falta de control en la custodia de la información.</t>
  </si>
  <si>
    <t xml:space="preserve">Bases de datos
Expedientes vehiculares
Expedientes de gestión
Historia Laboral
</t>
  </si>
  <si>
    <t>Cantidad de solicitudes de información entregadas oportunamente.
Cantidad de documentos hurtados o extraviados</t>
  </si>
  <si>
    <t>sanciones administrativas, entes de control y quejas de usuarios internos y externos</t>
  </si>
  <si>
    <t>ejecución del sistema de gestión documental fuera de los requerimiento normativos y procedimentales, manejo inadecuado de la documentación e información producida y recibida por la entidad, inadecuada aplicación de los procedimientos, falta de idoneidad y capacitación e instrucciones al personal para ejecutar la labor asignada, ausencia de controles para el manejo de la información, fallas en el manejo y control de los documentos y registros físicos y digitales que reposan en el archivo central del ITA.</t>
  </si>
  <si>
    <t>Posibilidad de afectación reputacional por sanciones administrativas, entes de control y quejas de usuarios internos y externos debido a la ejecución del sistema de gestión documental fuera de los requerimiento normativos y procedimentales, manejo inadecuado de la documentación e información producida y recibida por la entidad, inadecuada aplicación de los procedimientos, falta de idoneidad y capacitación e instrucciones al personal para ejecutar la labor asignada, ausencia de controles para el manejo de la información, fallas en el manejo y control de los documentos y registros físicos y digitales que reposan en el archivo central del ITA.</t>
  </si>
  <si>
    <t>El supervisor del contrato hace seguimiento mensual de los documentos del proceso, las sanciones y/o consecuencias del incumplimiento de alguna o algunas de las obligaciones contractuales asumidas por el contratistadejando como evidencia  informes de supervisión</t>
  </si>
  <si>
    <t>7c</t>
  </si>
  <si>
    <t>Inadecuado manejo de los archivos de gestión y central, desatendiendo los procedimientos establecidos y falta de ética profesional e idoneidad</t>
  </si>
  <si>
    <t>Posibilidad de recibir o solicitar cualquier dádiva o beneficio a nombre propio o de terceros por la alteración, sustracción o destrucción de datos o información documental fisica o digital bajo custodia de Gestión documental, obstruyendo la correcta preservación y conservación de información documental generando como consecuencias sanciones disciplinarias y penales para los funcionarios involucrados, pérdida de imagen y reputación de la entidad y hallazgos por parte de organismos de control</t>
  </si>
  <si>
    <t xml:space="preserve">Se espera que el evento ocurra en la mayoría de las circunstancias. Más de 1 vez al año
</t>
  </si>
  <si>
    <t>El técnico operativo de gestión documental verifica el acceso y consulta de los documentos mediante procedimiento (procedimiento de consulta y préstamo de expedientes)</t>
  </si>
  <si>
    <t>% de documentos de archivo hurtados o manipulados</t>
  </si>
  <si>
    <t>El técnico operativo de gestión documental realizar seguimiento a los instrumentos archivísticos dejando como evidencia informe.</t>
  </si>
  <si>
    <t>Gestión de recursos e infraestructura - subproceso TIC</t>
  </si>
  <si>
    <t>investigaciones administrativas y sanciones disciplinarias por perdida de la información y trazabilidad de los datos del sistema financiero y contable SIIAFE</t>
  </si>
  <si>
    <t>no realización del backup del sistema financiero.</t>
  </si>
  <si>
    <t>Posibilidad de afectación reputacional por investigaciones administrativas y sanciones disciplinarias por perdida de la información y trazabilidad de los datos del sistema financiero y contable SIIAFE debido a la no realización del backup del sistema financiero.</t>
  </si>
  <si>
    <t xml:space="preserve">SIIAFE </t>
  </si>
  <si>
    <t>El profesional universitario de las TIC resguarda el backup de los equipos en un medio extraible quedando como evidencia las planillas de registro de backup</t>
  </si>
  <si>
    <t xml:space="preserve">Back up realizados
Número de backup realizados/N° de backup programados </t>
  </si>
  <si>
    <t xml:space="preserve"> aumento de requerimientos de los usuarios internos y externos y la no continuidad de los procesos que utilizan el servicio de internet </t>
  </si>
  <si>
    <t>daños en la fibra, caidas masivas, daños en los equipos del proveedor del servicio de internet e interrupción del suministro eléctrico.</t>
  </si>
  <si>
    <t>Posibilidad de afectación económica y reputacional por aumento de requerimientos de los usuarios internos y externos y la no continuidad de los procesos que utilizan el servicio de internet debido a daños en la fibra, caidas masivas, daños en los equipos del proveedor del servicio de internet e interrupción del suministro eléctrico.</t>
  </si>
  <si>
    <t>Procesos en general</t>
  </si>
  <si>
    <t>El profesional universitario de las TIC solicita la creación de un ticket a la empresa prestadora del servicio de internet con el fin de identificar las posibles consecuencias de la no prestación del servicio.</t>
  </si>
  <si>
    <t>El subdirector administrativo y financiero verifica el pago oportuno de los servicios institucionales dejando como evidencia el comprobante de pago.</t>
  </si>
  <si>
    <t>la entidad cuenta con canal secundario de internet, el cual se activa cuando se cae el canal primario de internet</t>
  </si>
  <si>
    <t>interrupción de los procesos de gestión institucional</t>
  </si>
  <si>
    <t>falta de mantenimiento de los equipos, actualizaciones de software de los equipos, actualización o instalación de herramientas antivirus y  limpieza de archivos temporales.</t>
  </si>
  <si>
    <t>Posibilidad de afectación económica y reputacional por interrupción de los procesos de gestión institucional debido a la falta de mantenimiento de los equipos, actualizaciones de software de los equipos, actualización o instalación de herramientas antivirus y  limpieza de archivos temporales.</t>
  </si>
  <si>
    <t>El profesional universitario realiza los mantenimientos preventivos y correctivos del hardware y software institucional y realiza control de las hojas de vida de los equipo de acuerdo al plan anual de mantenimiento  dejando como evidencia planillas de mantenimiento preventivos, correctivos y encuesta de satisfacción.</t>
  </si>
  <si>
    <t>El profesional universitario realiza revisión a los discos duros y de los aplicativos como antivirus, limpieza de archivos temporales y amanezas de internet dejando como evidencia planillas de mantenimiento preventivos, correctivos y encuesta de satisfacción.</t>
  </si>
  <si>
    <t>requerimientos de los usuarios internos y externos por el vencimiento de los servicios de licencias, soporte, inversión tecnológica, renovación de productos firewall, certificados digitales e implementos de seguridad</t>
  </si>
  <si>
    <t>falta de presupuesto y no planificación de la adquisicón de los insumos.</t>
  </si>
  <si>
    <t>El profesional universitario de TIC consolida las necesidades de los usuarios relacionadas con las nuevas inversiones tecnológicas para las áreas de trabajo dejando como evidencia formatos de solicitud de requerimientos y el Plan Anual de Adquisiciones</t>
  </si>
  <si>
    <t>Porgramación de compras tecnológicas
Cantidad de insumos tecnológicos adquiridos/Cantidad de insumos tecnológicos por adquirir*100</t>
  </si>
  <si>
    <t xml:space="preserve"> investigaciones administrativas y sanciones disciplinarias, penales y fiscales por perdida de la información y trazabilidad de los datos de los diferentes procesos institucionales</t>
  </si>
  <si>
    <t>realización inadecuada de las copias de respaldo, fallas en los servidores institucionales y falta de controles a las bases de datos.</t>
  </si>
  <si>
    <t>Posibilidad de afectación reputacional y económica por investigaciones administrativas y sanciones disciplinarias, penales y fiscales por perdida de la información y trazabilidad de los datos de los diferentes procesos institucionales debido a la realización inadecuada de las copias de respaldo, fallas en los servidores institucionales y falta de controles a las bases de datos.</t>
  </si>
  <si>
    <t>Los líderes de procesos realizan backup de la información en la carpeta del servidor ubicada en los equipos de los funcionarios y en el drive asociado a la cuenta institucional asignada.</t>
  </si>
  <si>
    <t>Profesional universitario TIC</t>
  </si>
  <si>
    <t>El profesional universitario de TIC realiza seguimiento a los riesgos asociados a las bases de datos de los software SIIAFE, QX TRANSITO, CONSTRUSEÑALES dejando como evidencia informe monitoreo de riesgos de seguridad de la información</t>
  </si>
  <si>
    <t>TODOS LOS PROCESOS</t>
  </si>
  <si>
    <t xml:space="preserve"> acceso no autorizado a los datos personales de los clientes por las actividades ejecutadas en la entidad que ocasione pérdida de confidencialidad de la información </t>
  </si>
  <si>
    <t>ausencia de mecanismos de acceso de control a la información digital.</t>
  </si>
  <si>
    <t>Posibilidad de afectación reputacional por acceso no autorizado a los datos personales de los clientes por las actividades ejecutadas en la entidad que ocasione pérdida de confidencialidad de la información debido a ausencia de mecanismos de acceso de control a la información digital.</t>
  </si>
  <si>
    <t>Base de datos con la información personal de clientes</t>
  </si>
  <si>
    <t xml:space="preserve">Los líderes de procesos realizan cambio permanente de las contraseñas de acceso del equipo donde reposa la información </t>
  </si>
  <si>
    <t>Cantidad de PQR recibidas por divulgación de informaciòn personal suministrada sin autorización</t>
  </si>
  <si>
    <t>6c</t>
  </si>
  <si>
    <t>En desarrollo del ejercicio de las actividades de la oficina de las TIC se puede ejercer inadecuadamente las fucniones, responsabilidades  y facultades en el manejo de la plataforma tecnológica de la entidad.</t>
  </si>
  <si>
    <t xml:space="preserve">Posibilidad de pérdida de confianza en las actuaciones pública por acciones disciplinarias, ficales y penales por la alteración, sustracción, divulgación o destrucción de datos o información al alcance de los funcionarios del área de TIC,  con el objetivo de favorecer a funcionarios, contratistas o terceros con intereses particulares en dicha información </t>
  </si>
  <si>
    <t xml:space="preserve">Divulgar y ejecutar las políticas de seguridad de información </t>
  </si>
  <si>
    <t>El profesional universitario de TIC realiza  diariamente copias de seguridad a los sistemas de información resguardándolos bajo llave en la oficina TIC.</t>
  </si>
  <si>
    <t>Gestión documental</t>
  </si>
  <si>
    <t>ejecución de actividades por fuera de la planeación de los controles operativos.</t>
  </si>
  <si>
    <t>El subdirector operativo realiza plan de control operativo con el fin de establecer los controles a desarrollar en cada municipio de la jurisdicción y como evidencia queda el cronograma de controles.</t>
  </si>
  <si>
    <t>Cantidad de controles realizados de acuerdo a la programación establecida en el Plan de Control Operativo
N° de controles operativos realizados/N° de controles operativos programados</t>
  </si>
  <si>
    <t>El subdirector operativo  realiza diariamente el seguimiento al reporte con evidencia de las actividades desarrolladas por los diferentes agentes de transito, para cumplir con las acciones establecidas en Plan de Control Operativo.</t>
  </si>
  <si>
    <t>El subdirector operativo  realiza evaluación diaria de la ejecución de los controles para cumplir con las acciones establecidas en Plan de Control Operativo, dejando evidencia un informe mensual de las acciones de mejora a desarrollar.</t>
  </si>
  <si>
    <t>El subdrector operativo  realiza evaluación diaria de la ejecución de los controles para cumplir con las acciones establecidas en Plan de Control Operativo, dejando evidencia un informe mensual de las acciones de mejora a desarrollar.</t>
  </si>
  <si>
    <t>no realización de actividades de educación vial por falta de planificación o no ejecución de las actividades programadas</t>
  </si>
  <si>
    <t>Cantidad de acciones de educación en seguridad vial desarrolladas/ Cantidad de acciones en seguridad vial programadas.</t>
  </si>
  <si>
    <t>El subdirector operativo asigna funcionarios para verificar las actividades desarrolladas por los contratistas dejando como evidencia correo con reporte de novedades e informes de contratistas</t>
  </si>
  <si>
    <t>Nª de señales instaladas que cumplen con los requerimientos/Nª de señales requeridas</t>
  </si>
  <si>
    <t>La interventoria verifica las condiciones técnicas de los elementos instalados dejando como evidencia los informes de interventoría</t>
  </si>
  <si>
    <t xml:space="preserve"> acceso no autorizado a los datos personales de los beneficiarios de las actividades de educación vial ejecutadas por la entidad que ocasione pérdia de confidencialidad de la información</t>
  </si>
  <si>
    <t>ausencia de mecanismos para salvaguardar la información de uso restringido.</t>
  </si>
  <si>
    <t>Posibilidad de afectación reputacional por acceso no autorizado a los datos personales de los beneficiarios de las actividades de educación vial ejecutadas por la entidad que ocasione pérdida de confidencialidad de la información debido a ausencia de mecanismos para salvaguardar la información de uso restringido.</t>
  </si>
  <si>
    <t>Documentos con contenido personal de beneficiarios</t>
  </si>
  <si>
    <t>El subdirector operativo usa la política de tratamiento de datos para la recolección de información y los formatos de asistencia.</t>
  </si>
  <si>
    <t>Peticiones recibidas por la divulgación de información no autorizada</t>
  </si>
  <si>
    <t>sanciones fiscales entes de control</t>
  </si>
  <si>
    <t>servicios o productos pagados y no recibidos.</t>
  </si>
  <si>
    <t>Posibilidad de afectación económica y reputacional por sanciones fiscales por entes de control debido a servicios o productos pagados y no recibidos.</t>
  </si>
  <si>
    <t>El subdirector operativo diligencia los formatos de supervisión de contrato teniendo en cuenta la cuenta de cobro que presenta el contratista</t>
  </si>
  <si>
    <t>Educación y seguridad vial</t>
  </si>
  <si>
    <t>por requerimiento de la Subdirección Adminsitrativa y Financiera</t>
  </si>
  <si>
    <t>incumplimiento del recaudo local por inexactitud en el valor de la distribución de los porcentajes correcpondientes al SIMIT y a POLCA en el recaudo local pro fallas en la generación de la información</t>
  </si>
  <si>
    <t>Detrimento económico y sanción disciplinaria</t>
  </si>
  <si>
    <t>por la eventual caducidad de los comparendos que se encuentren en audiencia pública</t>
  </si>
  <si>
    <t>Posibilidad de afectación económica y reputacional por detrimento económico y sanción disciplinaria por entes de control debido a la eventual caducidad de los comparendos que se encuentren en audiencia pública.</t>
  </si>
  <si>
    <t>Tiempo transcurrido desde la fecha de imposición del comparendo hasta la fecha de resolución</t>
  </si>
  <si>
    <t>9c</t>
  </si>
  <si>
    <t xml:space="preserve">Intervención en el trámite por parte del inspector de tránsito para exonerar un comparendo </t>
  </si>
  <si>
    <t>Posibilidad de recibir dádivas para exonerar un comparendo para un beneficio propio o de un tercero por la intervención en el trámite por parte del inspector de tránsito.</t>
  </si>
  <si>
    <t>El profesional de contravenciones realiza trimestralmente la revisión de los expedientes exonerados de embriaguez y aleatoreamente otras infracciones con el fin de verificar que el fallo haya dado cumplimiento a la normatividad vigente, en caso de encontrar irregularidades se informará a través de memorando a la Dirección y como evidencia se llevará el registro en un archivo en excel.</t>
  </si>
  <si>
    <t>10c</t>
  </si>
  <si>
    <t>Intervención en el trámite por parte del profesional especializado de tránsito para la entrega de licencias sin el lleno de requisitos</t>
  </si>
  <si>
    <t>Cantidad de licencias suspendidas entregadas que cumplen con los requisitos para entrega</t>
  </si>
  <si>
    <t>perdida de integridad de la información</t>
  </si>
  <si>
    <t>modificación no autorizada o errores humanos por tratarse de actividades manuales o de uso inadecuado del acceso otorgado.</t>
  </si>
  <si>
    <t>Posibilidad reputacional por perdida de integridad de la información debido a la modificación no autorizada o errores humanos por tratarse de actividades manuales o de uso inadecuado del acceso otorgado.</t>
  </si>
  <si>
    <t>Certificado de Disponibilidad
Registros presupuestales
Liberaciones</t>
  </si>
  <si>
    <t>El profesional universitario de presupuesto realiza cambio de contraseña bimestralmente con el fin de evitar que haya vulneración de la información en el software financiero y demás documentos asociados al proceso de presupuesto.</t>
  </si>
  <si>
    <t>N° de moficiaciones realizadas a los CDP, RP y liberaciones sin autorización del profesional universitario de ppto</t>
  </si>
  <si>
    <t>requerimientos de los usuarios e investigaciones administrativas, legales, fiscales y penales por entes de control</t>
  </si>
  <si>
    <t>realización del proceso de pagos y devoluciones fuera de los requsitos establecidos en los  términos procedimentales.</t>
  </si>
  <si>
    <t>Posibilidad de afectación reputacional y económica por requerimientos de los usuarios e investigaciones administrativas, legales, fiscales y penales por entes de control, debido a realización del proceso de pagos y devoluciones fuera de los requsitos establecidos en los  términos procedimentales.</t>
  </si>
  <si>
    <t>El personal de apoyo verifica permanentemente  que los documentos cargados en la  ventanilla de radicación cumplan con los requisitos establecidos en el procedimiento dejando registrado la verificación de los soportes de las cuentas de cobro y/o facturas mediante radicado generado en el sistema del aplicativo ORFEO</t>
  </si>
  <si>
    <t>N° pagos realizados con el lleno de los requisitos</t>
  </si>
  <si>
    <t>El profesional universitario de presupuesto realiza la revisión detallada de los documentos soportes de la cuenta de cobro y/o factura, liquidadando las deducciones para enviarlo a contabiliad para su causación dejando registro de verificación del chequeo de cuentas realizado</t>
  </si>
  <si>
    <t xml:space="preserve">el profesional universitario de contabilidad del proceso realiza la causación del pago de contratistas y proveedores a través del aplicativo SIIAFE. </t>
  </si>
  <si>
    <t>El contador realiza la orden de pago verificando el registro presupuestal,certificado de disponibilidad presupuestal, soportes y deducciones</t>
  </si>
  <si>
    <t>El profesional universitario de tesoreria verifica los soportes de la orden de pago firmas y periodo de pago</t>
  </si>
  <si>
    <t>El profesional universitario de tesoreria verifica que los pagos fueron efectivos dejando registro del pago exitoso emitido por el banco</t>
  </si>
  <si>
    <t xml:space="preserve"> requerimientos de los usuarios e investigaciones administrativas, legales y penales por entes de control</t>
  </si>
  <si>
    <t>registro equivocado de los títulos valor a  aplicar.</t>
  </si>
  <si>
    <t>Posibilidad de afectación reputacional y económica por requerimientos de los usuarios e investigaciones administrativas, legales y penales por entes de control, debido al registro equivocado de los títulos valor a  aplicar.</t>
  </si>
  <si>
    <t>errores en las transacciones de título valor aplicados</t>
  </si>
  <si>
    <t xml:space="preserve">pérdida de integridad de los instrumentos para el acceso a la banca virtual </t>
  </si>
  <si>
    <t xml:space="preserve">manipulación inadecuada de los instrumentos usados para las transacciones bancarias y acceso a los softwares contables utilizadas para el pago de cuentas y/o facturas </t>
  </si>
  <si>
    <t xml:space="preserve">Posibilidad de afectación reputacional por pérdida de integridad de los instrumentos para el acceso a la banca virtual debido a la manipulación inadecuada de los instrumentos usados para las transacciones bancarias y acceso a los softwares contables utilizadas para el pago de cuentas y/o facturas </t>
  </si>
  <si>
    <t xml:space="preserve">El profesional especializado de tesoreria aplica las guías de seguridad establecidas por el generador de la herramienta tokens y realiza el cambio de la clave cada tres meses </t>
  </si>
  <si>
    <t xml:space="preserve">Cantidad de transacciones al mes sin realizar por tiempo de interrupciòn de los aplicativos </t>
  </si>
  <si>
    <t>sanciones administrativas por la generación de informes contables erroneos</t>
  </si>
  <si>
    <t>errores en la digitación de información contable y fallas en el software contable</t>
  </si>
  <si>
    <t xml:space="preserve">Software 
QUIPUS
SIIAFE
Deducciones
Ordenes de Pago
</t>
  </si>
  <si>
    <t>El software SIIAFE genera alerta para que no queden comprobantes y ordenes de pago sin registrar, una vez el profesional especializado de contabilidad realiza la contabilización (registrar cuentas en débito y crédito)</t>
  </si>
  <si>
    <t>Errores en transacciones y su impacto sobre los estados financieros</t>
  </si>
  <si>
    <t>En caso de que al realizar las ordenes de pago no se marquen las deducciones, el software SIIAFE automáticamente marca las deducciones para que se registre en contabilidad</t>
  </si>
  <si>
    <t>requerimientos internos e investigaciones disciplinarias ,fiscales y penales</t>
  </si>
  <si>
    <t>entrega de estados contables e informes financieros y notas a los estados fuera  de las fechas establecidas de los terminos procedimientales y valores e información imprecisa e inexacta.</t>
  </si>
  <si>
    <t>Posibilidad de afectación económica  por requerimientos internos e investigaciones disciplinarias ,fiscales y penales debido a la entrega de estados contables e informes financieros y notas a los estados fuera  de las fechas establecidas de los terminos procedimientales y valores e información imprecisa e inexacta.</t>
  </si>
  <si>
    <t>Reportes emitidos fuera de los tiempos establecidos según la normatividad</t>
  </si>
  <si>
    <t>El profesional especializado de contabilidad y  el Subdirector Administrativo y Financiero verifican la informacion de los estados contable  desde la creación del tercero con el fin de que cumpla con los requisitos establecidos en el procedimiento  dejando registrada la verificacion mediante sus firmas en  los formatos de los  estados contables.</t>
  </si>
  <si>
    <t>El profesional especializado de contabilidad realiza auditoria de las cuentas bancarias y contables en el software SIIAFE con el fin de corregir errores detectados al finalizar el mes dejando como evidencia informe contable enviado a la Subdirección Administrativa y Financiera</t>
  </si>
  <si>
    <t xml:space="preserve"> requerimientos internos por desconocimiento de la realidad de los estados financieros y reproceso en la aplicación de cartera quedando partidas sin definir</t>
  </si>
  <si>
    <t>no identificación del origen de los ingresos.</t>
  </si>
  <si>
    <t>Posibilidad de afectación reputacional por requerimientos internos por desconocimiento de la realidad de los estados financieros y reproceso en la aplicación de cartera quedando partidas sin definir debido a la no identificación del origen de los ingresos.</t>
  </si>
  <si>
    <t>El profesional especializado de tesoreria y la profesional de financiera establecen contacto con el banco y realizan comparación con la información registrada en los extractos bancarios y los libros de bancos auxiliares para verificar cual es la procedencia del ingreso o de una nota débido por descuento.</t>
  </si>
  <si>
    <t>El profesional especializado de contabilidad realiza las ordenes de pago de acuerdo a los registros presupuestales verificando que el valor a pagar no exceda el valor disponible</t>
  </si>
  <si>
    <t xml:space="preserve">requerimientos de entes de control (contraloria departamental del Atlántico) e investigaciones disciplinarias </t>
  </si>
  <si>
    <t>no saneamiento de la cartera vencida superior a 5 años</t>
  </si>
  <si>
    <t xml:space="preserve"> requerimientos de entes de control e investigaciones disciplinarias ,fiscales y penales</t>
  </si>
  <si>
    <t>érdida bienes por falta de control de inventarios</t>
  </si>
  <si>
    <t>Posibilidad de afectación económica por requerimientos de entes de control e investigaciones disciplinarias ,fiscales y penales debido a la pérdida bienes por falta de control de inventarios</t>
  </si>
  <si>
    <t>El profesional especializado de contabilidad realiza acta de entrega del activo físico con el fin de controlar la ubicación y el responsable del activo quedando como evidencia  el acta y paz y salvo de propiedad, planta y equipo, certificaciones requeridas para el último pago.</t>
  </si>
  <si>
    <t xml:space="preserve"> requerimientos administrativos por información financiera no cofiable</t>
  </si>
  <si>
    <t>registros contables inapropiados por la Definición inadecuada de políticas contables que no contribuyen a una representación fiel.</t>
  </si>
  <si>
    <t>probabilidad de afectación reputacional por requerimientos administrativos por información financiera no cofiable debido a registros contables inapropiados por la Definición inadecuada de políticas contables que no contribuyen a una representación fiel.</t>
  </si>
  <si>
    <t>Aplicación de políticas contables</t>
  </si>
  <si>
    <t xml:space="preserve">el profesional especializado de contabilidad revisa que se hayan contemplado todos los criterios necesarios para el reconocimiento, medición, revelación y presentación de los hechos económicos dejando como registro los comprobantes contables y políticas contables
</t>
  </si>
  <si>
    <t xml:space="preserve">sanciones de la Contaduria General </t>
  </si>
  <si>
    <t>pasivo pensional no real de acuerdo al cáclculo actuarial</t>
  </si>
  <si>
    <t>Valor de sanciones por pasivo penscional impuestas</t>
  </si>
  <si>
    <t>11c</t>
  </si>
  <si>
    <t>Pago indebido e intensional de la validación de documentos requisito para el pago por alguno de los servidores que intervienen en el proceso, como también por el ordenador del gasto de la entidad</t>
  </si>
  <si>
    <t>Posibilidad de recibir dádivas a favor propio o de un tercero debido al pago indebido de cuentas, facturas y devoluciones sin el cumplimiento de los requisitos</t>
  </si>
  <si>
    <t xml:space="preserve">El profesional especializado de tesoreria verifica que los pagos realizados concuerden con las ordenes de pago y soportes de acuerdo a los lineamientos establecidos  </t>
  </si>
  <si>
    <t>El profesional especializado de tesoreria imprime la tranferencia o transacción del pago realizado.</t>
  </si>
  <si>
    <t>12c</t>
  </si>
  <si>
    <t>Se realiza el pago sin las retenciones tributarias exigidas por al ley para un beneficio propio o de un tercero.</t>
  </si>
  <si>
    <t>Posibilidad de recibir dádivas a favor propio o de un tercero por sanciones disciplinarias y penales para el funcionario responsable y el representante legal de la entidad debido a dejar de prácticar de retenciones a los sujetos obligados sin una causa de ley justificada</t>
  </si>
  <si>
    <t>El profesional especializado de contabilidad permanece actualizado sobre los efectos disciplinarios y penales desencadenados por el incumplimiento del régimen tributario y la identificación de la base gravable</t>
  </si>
  <si>
    <t xml:space="preserve">Porcentaje de retenciones aplicadas a usuarios </t>
  </si>
  <si>
    <t>13c</t>
  </si>
  <si>
    <t>No reporte de información exógena DIAN y RETEICA de un sujeto obligado  de forma intensional sin una causa de ley justificada</t>
  </si>
  <si>
    <t>Posibilidad de recibir dádivas a favor propio o de un tercero por sanciones disciplinarias y penales por no reportar información exógena DIAN y RETEICA de un sujeto obligado  de forma intensional sin una causa de ley justificada</t>
  </si>
  <si>
    <t xml:space="preserve">Información exógena reportada del sujeto obligado  </t>
  </si>
  <si>
    <t xml:space="preserve"> pérdida de confianza por parte de la ciudadania y posibles investigaciones por entes de control </t>
  </si>
  <si>
    <t>prestación de tramites y servicios fuera de los requermientos normativos, legales y del ciudadano por desconocimiento de las actualizaciones de la normatividad aplicable y falta de capacitación e idonedidad del personal que ingresa al proceso de trámites.</t>
  </si>
  <si>
    <t>Posibilidad de afectación reputacional por pérdida de confianza por parte de la ciudadania y posibles investigaciones por entes de control debido a la prestación de tramites y servicios fuera de los requermientos normativos, legales y del ciudadano por desconocimiento de las actualizaciones de la normatividad aplicable y falta de capacitación e idonedidad del personal que ingresa al proceso de trámites.</t>
  </si>
  <si>
    <t>El técnico de trámite realiza entrenamiento técnico de procedimientos y tecnológico del software al colaborador que ejecutará el proceso  en campo</t>
  </si>
  <si>
    <t>% de trámités desarrollados de manera adecuada.</t>
  </si>
  <si>
    <t>Disminución de PQRS del procesos de trámites
Aumento de trámites realizados</t>
  </si>
  <si>
    <t>no realización oportuna del trámite</t>
  </si>
  <si>
    <t>demora en el envio de los historiales del parque automotor generando retrasos en los procedimientos de trámite y pérdida de clientes</t>
  </si>
  <si>
    <t xml:space="preserve">afectación del servicio con la atención al ciudadano, por la no emisión oportuna de licencias y placas </t>
  </si>
  <si>
    <t>no entrega de la cantidad o la calidad de especies venales por parte del proveedor</t>
  </si>
  <si>
    <t>20c</t>
  </si>
  <si>
    <t>Durante el desarrollo de las actividades de trámites algunos usuarios podríanofrecer dinero para sobornar a los funcionarios con el fin de obtener la agilización de su trámite.</t>
  </si>
  <si>
    <t>Posibilidad de obtener un beneficio económico por recibir dinero por parte de los usuarios con el fin de agilizar un trámite</t>
  </si>
  <si>
    <t>El líder de programa verifica que se mantenga enturnado al funcionario para que solo atienda los turnos que genera el sistema, dejando como evidencia turnos atendidos por cada funcionario.</t>
  </si>
  <si>
    <t>Turnos atendidos según asignación del sistema</t>
  </si>
  <si>
    <t>El líder de programa supervisa que los funcionarios atiendan los turnos en el orden asignado por la persona encargada de generar el turno en el sistema dejando como soporte relación de turnos y hora de atención</t>
  </si>
  <si>
    <t>21c</t>
  </si>
  <si>
    <t>Al tener los funcionarios al sisgtema de información, se pueden presentar alteraciones a la información relacionado con las tasas de transito y en el cargue de la información del parque automotor</t>
  </si>
  <si>
    <t>Posibilidad de obtener un beneficio económico por alterar o modificar el sistema de información relacionado con las tasas de transito y el cargue de la información del parque automotor</t>
  </si>
  <si>
    <t>La subdirección administrativa y financiera realiza auditoria diaria sobre los ingresos de las tasas de transito dejando como evidencia informe.</t>
  </si>
  <si>
    <t>L a Dirección delega a un profesional para realizar seguimiento a cualquier modificación que se realice en el sistema QX dejando como evidencia relación del producto no conforme anexando los soportes.</t>
  </si>
  <si>
    <t>El líder de programa autoriza mediante acto administrativo modificciones a las caracteristicas solicitadas por parte de los usuarios ante el RUNT</t>
  </si>
  <si>
    <t>Gestión del Talento Humano</t>
  </si>
  <si>
    <t>requerimiento e investigaciones administrativas por entes de control o reclamo de los grupos de valor</t>
  </si>
  <si>
    <t>realización de nombramientos, selección y contratación de personal fuera de los requisitos establecidos en el  manual de funciones y competencias, procedimientos y responsabilidades.</t>
  </si>
  <si>
    <t>Posibilidad de afectación reputacional y económico por requerimiento e investigaciones administrativas por entes de control o reclamo de los grupos de valor debido a la realización de nombramientos, selección y contratación de personal fuera de los requisitos establecidos en el  manual de funciones y competencias, procedimientos y responsabilidades.</t>
  </si>
  <si>
    <t>El profesional especializado de Talento Humano revisa de manera permanente los requisitos del cargo establecidos en el Manual de Funciones y Competencias Laborales vigente, evidenciandose en el procedimiento de selección de personal</t>
  </si>
  <si>
    <t xml:space="preserve">Cantidad de personal vinculado de acuerdo a los lineamientos establecidos en el manual de funciones y competencias laborales, procedimientos y responsabilidades </t>
  </si>
  <si>
    <t>el profesional especializado una vez verificado los requisitos establecidos en el procedimiento de selección, informa al Subdirector administrativo y financiero sobre la evaluación a la hoja de vida del candidato y definen su vinculación o no de acuerdo al grado de cumplimiento.</t>
  </si>
  <si>
    <t xml:space="preserve">requerimiento de los usuarios internos e investigaciones administrativas por insuficiente desarrollo de las competencias y habilidades de los servidores públicos </t>
  </si>
  <si>
    <t xml:space="preserve">Profesional especializado de talento humano realiza lista de asistencia de manera permanente de las capacitaciones desarrolladas </t>
  </si>
  <si>
    <t>Capacitaciones realizadas según necesidades de las áreas</t>
  </si>
  <si>
    <t>Profesional especializado identifica de manera adecuada las necesidades de capacitación de cada dependencia con el fin de desarrollar el plan institucional de capacitaciones dejando como evidencia los listados de asistencia recolectados.</t>
  </si>
  <si>
    <t>demandas de los contratistas</t>
  </si>
  <si>
    <t xml:space="preserve"> cumplimiento de labores misionales de manera permanente.</t>
  </si>
  <si>
    <t>Posibilidad de afectación económica por demandas de los contratistas debido al cumplimiento de labores misionales de manera permanente.</t>
  </si>
  <si>
    <t>Sentencias pagadas a favor de demandantes por un proceso de demanda de contratos realidad</t>
  </si>
  <si>
    <t>El profesional especializado de talento humano verifica los cargos misionales con los cuales se pueden generar empleos temporales dejando como  evidencia estudio de cargos y propuesta</t>
  </si>
  <si>
    <t xml:space="preserve">requerimiento de los usuarios internos e investigaciones administrativas </t>
  </si>
  <si>
    <t>evaluación no objetiva del desempeño de los servidores por parte de los líderes del proceso por evaluación subjetiva del desempeño, seguimiento inadecuado del desempeño y no fijación de compromisos del líder hacia el servidor evaluado.</t>
  </si>
  <si>
    <t>Posibilidad de afectación reputacional y económica por requerimiento de los usuarios internos e investigaciones administrativas debido a la evaluación no objetiva del desempeño de los servidores por parte de los líderes del proceso por evaluación subjetiva del desempeño, seguimiento inadecuado del desempeño y no fijación de compromisos del líder hacia el servidor evaluado.</t>
  </si>
  <si>
    <t>El profesional especializado de talento humano envia las alertas sobre la realización de la evaluación del desempeño constantemente a los correos de los líderes de la dependencias dejando como evidencia las alertas enviadas.</t>
  </si>
  <si>
    <t>Desempeño evaluado oportunamente por el jefe inmediato.</t>
  </si>
  <si>
    <t>El profesional especializado de talento humano envia a control disciplinario a los funcionarios que no están cumplimiento con el desarrollo de las activiaddes de evaluación del desempeño</t>
  </si>
  <si>
    <t>requerimiento de los usuarios internos e investigaciones administrativas y legales por entes de control</t>
  </si>
  <si>
    <t>implementación del SGSST fuera de los requerimientos normativos.</t>
  </si>
  <si>
    <t>Posibilidad de afectación económica y reputacional por requerimiento de los usuarios internos e investigaciones administrativas y legales por entes de control debido a la implementación del SGSST fuera de los requerimientos normativos.</t>
  </si>
  <si>
    <t>El profesional de apoyo a la gestión del area del Talento Humano encargada del SGSST actualiza periodicamente de la Matriz de Requisito Legales en Seguridad y Salud en el Trabajo, se evidencia en el formato destinado para tal fin.</t>
  </si>
  <si>
    <t>Accidentalidad laboral</t>
  </si>
  <si>
    <t>El profesional de apoyo a la gestión del area del Talento Humano encargada del SGSST define indicadores  para hacer seguimiento a los nuevos requerimientos normativos</t>
  </si>
  <si>
    <t xml:space="preserve"> investigaciones administrativas, sanciones fiscales por entes de control y acciones legales de los usuarios internos afectados</t>
  </si>
  <si>
    <t xml:space="preserve">no cobertura de los servicios de seguridad social y causación de interés por pago extemporáneo por omisión o reporte de novedades en la liquidación y pago de la seguridad social y aportes parafiscales </t>
  </si>
  <si>
    <t xml:space="preserve">Posibilidad de afectación económica y reputacional por investigaciones administrativas, sanciones fiscales por entes de control y acciones legales de los usuarios internos afectados debido a la no cobertura de los servicios de seguridad social y causación de interés por pago extemporáneo por omisión o reporte de novedades en la liquidación y pago de la seguridad social y aportes parafiscales </t>
  </si>
  <si>
    <t>El profesional especializado de talento humano realiza revisión y aprobación de nómina de acuerdo al procedimiento destinado para tal ejercicio.</t>
  </si>
  <si>
    <t>Nòmina pagada y reportada dentro de los tèrminos legales establecidos.</t>
  </si>
  <si>
    <t>Posibilidad de pérdida reputacional por queja o reclamo de un servidor de la Entidad debido a la inconsistencia en la liquidación de la nómina por reporte de novedades fuera de los plazos definidos en el cronograma.</t>
  </si>
  <si>
    <t>saciones dsiciplinarias, afectación del clima laboral y reclamaciones de usuarios internos y externos</t>
  </si>
  <si>
    <t>ausencia de copias de respaldo o que estas se encuentran corruptas generando pérdida de disponibilidad de la información contenida en nómina e Historias Laborales</t>
  </si>
  <si>
    <t>Base de datos de  Nómina 
Historias laborales</t>
  </si>
  <si>
    <t>El profesional especializado de talento humano realiza copia de respaldo física.</t>
  </si>
  <si>
    <t>Cantidad de información de talento humano no disponibles</t>
  </si>
  <si>
    <t>El profesional de TIC instala sofware que permite la custodia de los documentos en la nube.</t>
  </si>
  <si>
    <t>pérdida de confidencialidad de la información por acceso no autorizado a la información confidencial o modificaciones de la Historia Laboral (HL) o datos personales reservados del trabajador</t>
  </si>
  <si>
    <t xml:space="preserve"> inadecuada gestión de permisos de acceso a los sistemas de información del proceso de TH</t>
  </si>
  <si>
    <t>Posibilidad de afectación reputacional por pérdida de confidencialidad de la información por acceso no autorizado a la información confidencial o modificaciones de la Historia Laboral (HL) o datos personales reservados del trabajador, debido a la inadecuada gestión de permisos de acceso a los sistemas de información del proceso de TH</t>
  </si>
  <si>
    <t>Base de datos de  Nómina SIIAFE
Certificaciones electrónicas CETIL
Bonos electrónico
Plataforma SIMO
Software de evaluación del Desempeño
Ingreso a PASIVOCOL Pasivo pensional</t>
  </si>
  <si>
    <t>El representante legal envìa autorización de asignación de usuarios y perfiles a las diferentes aplicaciones de los ministerios identificando el rol y las funciones de los funcionarios dentro de la entidad.</t>
  </si>
  <si>
    <t>Peticiones recibidas por la divulgación o modificación de información no autorizada</t>
  </si>
  <si>
    <t>El profesional especializado de talento humano realiza los controles de seguridad  de acceso de acuerdo a los lineamientos de cada aplicaciòn, para verificar que solamente el personal autorizado tenga acceso y la información generada en ella no pueda manipularse.</t>
  </si>
  <si>
    <t>15C</t>
  </si>
  <si>
    <t>Durante la vinculación de los empleos de libre nombramiento y remoción se ajustan las competencias de conocimientos y experiencias con el fin de vincular al personal de confianza necesario para la  gestión institucional de la administración en curso.</t>
  </si>
  <si>
    <t xml:space="preserve"> Posibilidad de pérdida de confianza de la comunidad hacia las actuaciones públicas debido a la vinculación de personal sin las competencias, conocimientos y experiencia necesarias y/o modificaciones y ajustes a los requisitos de la formación y estudio para obtener un beneficio propio o de un particular</t>
  </si>
  <si>
    <t>Profesional especializado de Talento Humano</t>
  </si>
  <si>
    <t>Soporte Jurídico</t>
  </si>
  <si>
    <t>otorgar información errónea en el marco del apoyo jurídico que se realiza a todas las dependencias del ITA</t>
  </si>
  <si>
    <t>N/A</t>
  </si>
  <si>
    <t xml:space="preserve">El jefe jurídica consulta la funte jurídica constantemente con el fin de emitir concepto de acuerdo a la norma vigentey evita emitir opiniones. </t>
  </si>
  <si>
    <t>Cantidad de concpetos jurídicos emitidos de acuedo a la normatividad vigente</t>
  </si>
  <si>
    <t>sanción del ente de control</t>
  </si>
  <si>
    <t>desconocimiento de la normatividad en las actuaciones surgidas durante la representación judicial del ITA</t>
  </si>
  <si>
    <t>Posibilidad de afectación económica y sanción del ente de control por desconocimiento de la normatividad en las actuaciones surgidas durante la representación judicial del ITA</t>
  </si>
  <si>
    <t>El jefe jurídica plantea las líneas de defensa para la representación judicial del ITA dejando como evidencia los diferentes expedientes que se llevan de las actuaciones de los procesos y los informes mensuales del apoderado del ITA</t>
  </si>
  <si>
    <t>Acciones programadas para la prevención del daño antijurídico/Acciones desarrolladas para la prevención del daño antijurídic</t>
  </si>
  <si>
    <t>sanción por parte de la contraloria</t>
  </si>
  <si>
    <t xml:space="preserve"> no iniciar, suspender o interrumpir sin justa causa el proceso administrativo de cobro coactivo a los deudores morosos</t>
  </si>
  <si>
    <t>Posibilidad de afectación económica y reputacional sanción por parte de la contraloria por no iniciar, suspender o interrumpir sin justa causa el proceso administrativo de cobro coactivo a los deudores morosos</t>
  </si>
  <si>
    <t>El jefe de jurídica realiza revisión y estandarización de las minutas que se utilizan en el procedimiento del cobro coactivo y persuasivo con el fin de garantizar el cumplimiento del debido proceso para evitar nulidades que afecten la validez del cobro dejando como evidencia las minutas</t>
  </si>
  <si>
    <t>% de caducidad y preeescripción de procesos de cobro coactivo por no realizar el trámite no pertinente</t>
  </si>
  <si>
    <t xml:space="preserve">El jefe de jurídica aprueba el desembargo previo estricto control del pago en el sistema (QX, SIMIT) utilizando dos filtro de revisión en el que se verifique los datos correctos para evitar devoluciones de los bancos o desembargar conceptos que nos corresponden a la actividad. </t>
  </si>
  <si>
    <t>El jefe de jurídica aprueba la preescipción en el sistema con base en la resolución previamente estandarizada y aprobada de acuerdo a los lineamientos jurídicos aplicables</t>
  </si>
  <si>
    <t xml:space="preserve">sanciones disciplianarias por parte de la procuraduría y arresto dentro de un incidente de desacato </t>
  </si>
  <si>
    <t>trámite inadecuado de las acciones de tutela y requerimiento de los entes de control.</t>
  </si>
  <si>
    <t>Posibilidad de afectación reputacional por sanciones disciplianarias por parte de la procuraduría y arresto dentro de un incidente de desacato por el trámite inadecuado de las acciones de tutela y requerimiento de los entes de control.</t>
  </si>
  <si>
    <t>% de desacatos en contra del instituto</t>
  </si>
  <si>
    <t>sanción disciplinaria de la procuraduría</t>
  </si>
  <si>
    <t xml:space="preserve">respuestas inadecuadas o demora en el trámite de las PQRS </t>
  </si>
  <si>
    <t xml:space="preserve">Posibilidad de afectación reputacional y sanción disciplinaria de la procuraduría por respuestas inadecuadas o demora en el trámite de las PQRS </t>
  </si>
  <si>
    <t>El área de peticiones de jurídica proyecta la respuesta de la petición en concordancia con los lineamientos efectuados por la jefe de jurídica utilizando las minutas estandarizadas para ello dejando como evidencia la respuesta al peticionario en el sistema ORFEO</t>
  </si>
  <si>
    <t>% de PQR respondidas conforme a derecho</t>
  </si>
  <si>
    <t>El área de peticiones de jurídica utiliza tres filtros de revisión antes de que la respuesta sea firmada en ORFEO</t>
  </si>
  <si>
    <t>El jefe de jurídica establece cuadro de control de las peticiones para la trazabilidad del proceso en cuento a tiempos de respuesta oportunas y conocimiento de la cantidad de PQRS recibidos.</t>
  </si>
  <si>
    <t>Posibilidad de afectación económica y reputacional pérdida de disponibilidad de procesos jurídicos en ORFEO y en el correo institucional debido a demoras o paralización de las actividades jurídicas por fallas en el sistema ORFEO</t>
  </si>
  <si>
    <t xml:space="preserve">Correo isntitucional de Jurídica
Acciones de tutela y PQRS en ORFEO </t>
  </si>
  <si>
    <t>Los integrantes del área jurídica cuando se detecta una falla tecnológica en la plataforma ORFEO o en el correo institucional notifica a al área TIC mediante correo electrónico, con el fin de solicitar soporte y solución de la incidencia. En caso de incidencia mayor el jefe de TIC atiende directamente la situación. Se evidencia en correos electrónicos.</t>
  </si>
  <si>
    <t>Solicitudes de mejora a TIC realizadas oportunamente</t>
  </si>
  <si>
    <t>16c</t>
  </si>
  <si>
    <t>Incumplimiento de procedimientos y normatividad aplicable de los procesos judicales con el propósito de favorecer un interés particular</t>
  </si>
  <si>
    <t xml:space="preserve">Posibilidad de pérdida de confianza de la comunidad hacia las actuaciones públicas, por omisión y desatención de las actuaciones, criterios, normas o leyes en el trámite de los procesos judiciales en contra de la entidad, al igual que la emisión de conceptos de carácter jurídico, bajo la gestión de la oficina asesora jurídica con el propósito de favorecer un interés particular (demandante del ITA o funcionario de la entidad interesada) en los procesos judiciales o conceptos de carácter jurídico </t>
  </si>
  <si>
    <t>Cantidad de peticiones atendidas</t>
  </si>
  <si>
    <t xml:space="preserve">acciones disciplinarias </t>
  </si>
  <si>
    <t>incumplimiento de los términos en la Ley en los procesos disciplinarios</t>
  </si>
  <si>
    <t>Posibilidad de afectación reputacional por acciones disciplinarias debido a incumplimiento de los términos en la Ley en los procesos disciplinarios</t>
  </si>
  <si>
    <t>El comité de control disciplinario abre las acciones disciplinarias procedentes en concordancia con la normtividad vigente quedando como evidencia los expedientes contractuales.</t>
  </si>
  <si>
    <t>Cantidad de procesos preescritos y caducados
procesos preescritos y caducados/procesos disciplinarios</t>
  </si>
  <si>
    <t>pérdida de disponibilidad de los expedientes de procesos disciplinarios</t>
  </si>
  <si>
    <t>pérdida o hurto de la información a causa no control de la trazabilidad de la información</t>
  </si>
  <si>
    <t>Posibilidad de afectación reputacional por pérdida de disponibilidad de los expedientes de procesos disciplinarios debido a la pérdida o hurto de la información a causa no control de la trazabilidad de la información</t>
  </si>
  <si>
    <t>Expedientes procesos disciplinarios
Informes de indagaciones</t>
  </si>
  <si>
    <t>El abogado adscrito al comité interno disciplinario presenta mensualemten informe del estado de las actuaciones dejando evidencia el informe</t>
  </si>
  <si>
    <t xml:space="preserve">Cantidad de Expedientes de procesos disciplinarios de pérdidos o hurtados </t>
  </si>
  <si>
    <t>El coordinador del comité interno disciplinario cuenta con una carpeta digital en el que se archivan las actuaciones cronológicamente.</t>
  </si>
  <si>
    <t>17c</t>
  </si>
  <si>
    <t>Inadecuado manejo de los expedientes disciplinarios, desatendiendo los procedimientos establecidos.</t>
  </si>
  <si>
    <t>Posibilidad de recibir o solicitar cualquier dádiva o beneficio a nombre propio o de terceros por ventilar información sujeta a reserva de los expedientes disciplinarios que traería como consecuencias sanciones disciplinarias y económicas por el garante.</t>
  </si>
  <si>
    <t>El coordinador del comité interno disciplinario focalizará la información relacionada con los procesos bajo estricto resguardo y su consulta solo será previa autorización</t>
  </si>
  <si>
    <t>Cantidad de Expedientes divulgados sin autorización
Expedientes divulgados sin autorización/expedientes disciplinarios</t>
  </si>
  <si>
    <t xml:space="preserve">Gestión Comercial </t>
  </si>
  <si>
    <t xml:space="preserve">pérdida de clientes (concesionarios de vehículos y escuelas de conducción) </t>
  </si>
  <si>
    <t>atención inoportuna de la solicitud del trámite (matrícula inicial y la expedición de licencia de conducción)</t>
  </si>
  <si>
    <t xml:space="preserve">Aumento en la captación de clientes por venta de servicios de trámites de tránsito </t>
  </si>
  <si>
    <t>El profesional de apoyo a la gestión comercial realiza seguimiento a los tiempos de respuesta a las preasignaciones enviadas por correo electrónico para darle celeridad a este proceso y atiende los reclamos a los que hubo lugar por la demora en la respuesta quedando como evidencia la notificación al usuario.</t>
  </si>
  <si>
    <t>disminución de matrículas iniciales y trámites RNA, RNMA y RNRYS</t>
  </si>
  <si>
    <t>mejores ofertas en precios y agilidad en el servicio de transito otros lugares en el Atlántico.</t>
  </si>
  <si>
    <t>Posibilidad de afectación económica y reputacional por disminución de matrículas iniciales y trámites RNA, RNMA y RNRYS debido a mejores ofertas en precios y agilidad en el servicio de transito otros lugares en el Atlántico.</t>
  </si>
  <si>
    <t>El profesional de apoyo a la gestión comercial realiza comparación de tarifas con los tránsitos del Atlántico dejando evidencia del análisis desarrollado</t>
  </si>
  <si>
    <t>18c</t>
  </si>
  <si>
    <t>Durante la realización de trámites se puede presentar acciones de corrupción para la agilización de un trámite y servicio relacionado con licencias debido a la falta de racionalización de trámites.</t>
  </si>
  <si>
    <t>Posibilidad de solicitar o recibir dádivas por favorecimiento indebido relacionado con preferencia en la atención para agilizar la obtención de trámite solicitado</t>
  </si>
  <si>
    <t>Turnos atendidos según asignación del sistema
Trámites liquidados/Turnos atendidos</t>
  </si>
  <si>
    <t>Evaluación y control</t>
  </si>
  <si>
    <t xml:space="preserve"> multa o sanción del ente regulador e investigaciones disciplinarias</t>
  </si>
  <si>
    <t xml:space="preserve"> presentación extemporánea de informes de Ley como producto de la inoportunidad de la información requerida a las diferentes áreas de la entidad. </t>
  </si>
  <si>
    <t xml:space="preserve">Posibilidad de afectación económica y reputacional por multa o sanción del ente regulador e investigaciones disciplinarias debido a presentación extemporánea de informes de Ley como producto de la inoportunidad de la información requerida a las diferentes áreas de la entidad. </t>
  </si>
  <si>
    <t>Informes presentados de manera extemporánea
N° de informes presentados de manera extemporánea</t>
  </si>
  <si>
    <t xml:space="preserve"> sanción disciplinaria</t>
  </si>
  <si>
    <t xml:space="preserve"> desconocimiento y/o desactualización del marco normativo aplicable al ejercicio de auditoria dentro de la entidad.</t>
  </si>
  <si>
    <t>Posibilidad reputacional por sanción disciplinaria debido al desconocimiento y/o desactualización del marco normativo aplicable al ejercicio de auditoria dentro de la entidad.</t>
  </si>
  <si>
    <t xml:space="preserve">pérdida o hurto de la información por deficiencia en la seguridad física de los documentos y ausencia de copias de respaldo o copias de respaldo corruptas </t>
  </si>
  <si>
    <t>Actas de comité de coordinación de de control interno
Informes de gestión
Informes del
Programas de auditoría interna</t>
  </si>
  <si>
    <t>Las actas físicas quedan guardadas en el archivo de gestión de la Oficina de Control Interno y después de (2) años se trasladan al archivo central del ITA, estos documentos permanecen custodiadas en gavetas bajo llave.
La custodia de los documentos en el archivo central es responsabilidad del grupo de gestión documental.</t>
  </si>
  <si>
    <t>Porcentaje de documentos hurtados</t>
  </si>
  <si>
    <t xml:space="preserve"> pérdida de integridad de la información</t>
  </si>
  <si>
    <t>modificaciones no autorizadas por Contraseñas fáciles de adivinar, no utilización de escaneo de los documentos para evitar falsificación de firmas y de contenido y ausencias de políticas de seguridad de la información</t>
  </si>
  <si>
    <t>Posibilidad de afectación reputacional por pérdida de integridad de la información debido a modificaciones no autorizadas por Contraseñas fáciles de adivinar, no utilización de escaneo de los documentos para evitar falsificación de firmas y de contenido y ausencias de políticas de seguridad de la información</t>
  </si>
  <si>
    <t>Actas de comité de coordinación de de control interno
Informes de gestión
Informes
Programas de auditoría interna</t>
  </si>
  <si>
    <t>El jefe de la Oficina de Control Interno escanea los informes de control interno con el fin de publicarlos en el link de transparencia de acceso a la información.</t>
  </si>
  <si>
    <t>Porcentaje de informes modificados sin autorización</t>
  </si>
  <si>
    <t>19c</t>
  </si>
  <si>
    <t>En desarrollo del ejercicio auditor a cargo del proceso de evaluación y control se omite, la realización de actuaciones y se ajustan o alteran informes de evaluación  en favorecimiento de la gestión de los responsables de los procesos auditados por influencia o presiones de estos.</t>
  </si>
  <si>
    <t>Posibilidad de Pérdida de confianza de la comunidad por investigaciones administrativas y disciplinarias debido al incumplimiento del código ético del auditor y estatuto de auditoría interna.</t>
  </si>
  <si>
    <t>El jefe contorl interno en cada actuación de auditoría el Código de ética del auditor</t>
  </si>
  <si>
    <t>Cantidad de informes a los que se les aplican los lineamientos de auditoria vigentes</t>
  </si>
  <si>
    <t>El jefe de control interno implementa los lineamientos guía de auditoria interna para entidades públicas de la DAFP según la última versión</t>
  </si>
  <si>
    <t>Gestión de recursos e infraestructura - TIC</t>
  </si>
  <si>
    <t>Gestión de trámite</t>
  </si>
  <si>
    <t>Evaluación y Control</t>
  </si>
  <si>
    <t>Gestión comercial</t>
  </si>
  <si>
    <t>Control disciplinario</t>
  </si>
  <si>
    <t>Revisión por la Dirección</t>
  </si>
  <si>
    <t>el profesional especializado de contabilidad verifica la información que expide el Ministerio de Hacienda y Crédito Público a través de PASIVOCOL dejando como evidencia la actualización de los saldos de cuotas partes y bonos pensionales y los activos.</t>
  </si>
  <si>
    <t>El profesional de tecnología de la información verifica que se cumpla con el cronograma de mantenimiento dejando como evidencia informe con las respectivas observaciones al cronograma de mantenimiento.</t>
  </si>
  <si>
    <t>El técnico operativo semanalmente realiza la apertura de la agenda de programación de cursos dejando como evidencia la agenda electrónica que se encuentra en el módulo qx de contravenciones disponible para que los ciudadanos se agenden en esta.</t>
  </si>
  <si>
    <t>Porcentaje de contratos que cumplen con el lleno de requisitos.
# de contratos suscritos  que cumplen con el lleno de requisitos/# de contratos suscritos</t>
  </si>
  <si>
    <t xml:space="preserve">El profesional especializado de contratación aprueba las garantias aportadas por el contratista y el supervisor del contrato avala el plan de inversión del anticipo dejando como evidencia la aprobación del informe de supervisión </t>
  </si>
  <si>
    <t>Sanciones por no implementación del programa de gestión documental</t>
  </si>
  <si>
    <t>Porcentaje de disponibilidad del servicio
Horas interrumpidas/Horas anuales del servicio*100</t>
  </si>
  <si>
    <t>Cumplimiento del plan de mantenimiento
Mantenimientos realIzados/Mnatenimientos programados</t>
  </si>
  <si>
    <t>Posibilidad de afectación económica y reputacional por requerimientos de los usuarios internos y externos por el vencimiento de los servicios de licencias, soporte, inversión tecnológica, renovación de productos firewall, certificados digitales e implementos de seguridad debido a la falta de presupuesto y no planificación de la adquisicIón de los insumos.</t>
  </si>
  <si>
    <t>Posibilidad de afectación reputacional por pérdida de credibilidad y confianza de la ciudadanía debido a la ejecución de actividades de control operativo fuera de los requisitos técnicos y normativos en control de tránsito.</t>
  </si>
  <si>
    <r>
      <t xml:space="preserve">El subdirector operativo realiza plan de educación vial mediante el análisis de las estadísticas de accidentalidad arrojadas por medicina legal </t>
    </r>
    <r>
      <rPr>
        <sz val="10"/>
        <color rgb="FFFF0000"/>
        <rFont val="Calibri"/>
        <family val="2"/>
        <scheme val="minor"/>
      </rPr>
      <t>o por el observatorio de la Agencia Nacional de Seguridad Vial (ANSV),</t>
    </r>
    <r>
      <rPr>
        <sz val="10"/>
        <rFont val="Calibri"/>
        <family val="2"/>
        <scheme val="minor"/>
      </rPr>
      <t xml:space="preserve"> de los comparendos y </t>
    </r>
    <r>
      <rPr>
        <sz val="10"/>
        <color rgb="FFFF0000"/>
        <rFont val="Calibri"/>
        <family val="2"/>
        <scheme val="minor"/>
      </rPr>
      <t>los comités locales de seguridad vial</t>
    </r>
    <r>
      <rPr>
        <sz val="10"/>
        <rFont val="Calibri"/>
        <family val="2"/>
        <scheme val="minor"/>
      </rPr>
      <t>, dejando como evidencia cronograma de actividades de educación vial.</t>
    </r>
  </si>
  <si>
    <t>El subdirector operativo a través de los comités locales de seguridad vial recoge las necesidades de los municipios y consolida un plan de instalación de señalización y demarcación y luego se contratan las obras dejando como evidencia actas de los comités y las órdenes de servicio contratadas a partir de las necesidades de los municipios.</t>
  </si>
  <si>
    <t>Numero de solicitudes de servicios o productos PAGADOS Y NO RECIBIDOS</t>
  </si>
  <si>
    <t>Posibilidad de afectación económica por requerimiento de la Federación Colombiana de Municipios de no pago por incumplimiento del recaudo local debido a inexactitud en el valor de la distribución de los porcentajes correspondientes al SIMIT y a POLCA en el recaudo local como consecuencia de fallas en la generación de la información por defectos en el desarrollo del software o configuración incorrecta de parámetros del software.</t>
  </si>
  <si>
    <t>Posibilidad de afectación reputacional por sanciones administrativas por la generación de informes contables erroneos debido a equivocaciones en la digitación de información contable y fallas en el software contable</t>
  </si>
  <si>
    <t>El profesional especializado de contabilidad revisa la información constantemente durante los meses anteriores a la presentación de los informes financieros con el fin de evitar errores de digitación, extemporaneidad de tiempos de entrega y verificación de confiabilidad de la información.</t>
  </si>
  <si>
    <t>trimestral</t>
  </si>
  <si>
    <t>el profesional valida la información ingresada mediante El software SIAFFE EN EL MODULO de administración  CONTABle el cual genera alertas de tipo incorrecto de acuerdo a la información contable  ingresada con unos listados de auditores.</t>
  </si>
  <si>
    <t>Probabilidad de afectación económica por sanciones de la Contaduria General debido al pasivo pensional no real de acuerdo al cálculo actuarial</t>
  </si>
  <si>
    <t>Posibilidad de afectación reputacional por la afectación del servicio con la atención al ciudadano, por la no emisión oportuna y/o con calidad de licencias y placas debido a la falta de mantenimiento de los equipos, falta de condiciones ambientales, no entrega de la cantidad o la calidad de especies venales por parte del proveedor</t>
  </si>
  <si>
    <t>Productos no conformes
productos no conformes/licencias y matriculas emitidas</t>
  </si>
  <si>
    <t>Posibilidad de afectación reputacional y econòmica por saciones disciplinarias, afectación del clima laboral y reclamaciones de usuarios internos y externos debido a la ausencia de copias de respaldo o que estas se encuentran corruptas generando pérdida de disponibilidad de la información contenida en nómina e Historias Laborales</t>
  </si>
  <si>
    <t>Menor</t>
  </si>
  <si>
    <t>El Jefe de la Oficina de Control Interno envia correo de solicitud de información con la fecha límite para la presentación de los informes de ley con la documentación a enviar con el fin de tomar acciones necesarias para cumplir con los lineamientos normativos dejando como evidencia los correos enviados.</t>
  </si>
  <si>
    <t>El jefe de control interno realiza la revisión de la planeación, la ejecución y la emisión de informes de acuerdo al formato ECI-F-13 Prueba de control, validacioón de la ejeucicón y efectividad del control, con el fin de verificar que el objetivo de la auditoria se realice conforme a los criterios que regulan la práctica o el ejercicio de las auditorias dentro del sector público.</t>
  </si>
  <si>
    <t>Número Informes revisados que cumplen con los lineamientos de las auditorias</t>
  </si>
  <si>
    <t>El técnico operativo realiza el inventario mensualmente dejando como evidencia la cantidad de sustratos utilizados, sustratos en existencia y sustratos anulados registrandolo en un archivo de excel denominado control de especies de venales.</t>
  </si>
  <si>
    <t>El profesional de tecnología de la información verifica mensualmente los insumos que participan en el buen funcionamiento de las máquinas y la elaboración del producto, dejando como evidencia informe técnico, en caso de que se detecte una falla o parálisis de la maquina suministrada por los operadores externos (RUNT o servicios integrales), el técnico operativo genera un ticket ante el RUNT, previa aprobación del líder del programa.</t>
  </si>
  <si>
    <t>El profesional especializado de contratación liquida los contratos dentro del tiempo otorgado por ley que hayan cumplido el objeto contractual dejando como evidencia acta de liquidación</t>
  </si>
  <si>
    <t>El profesional especializado del área de contratación verifica que las necesidades de servicios profesionales se encuentran en el PAA quedando como evidencia la modificación al PAA publicada en el SECOP y seguimiento al PAA</t>
  </si>
  <si>
    <t>El profesional universitario de tesoreria verifica que los títulos contegan los montos, consecutivos, beneficiario, identificación y demás datos requeridos para la aplicación adecuada del título, dejando como registro un soporte de factura del software QUIPUX y la factua física generada con todos sus soportes</t>
  </si>
  <si>
    <t xml:space="preserve">Plataforma de Banco
1 Token de transacciones
Software 
QUIPUS
SIIAFE
Banco agrario de Consulta
Chequera
</t>
  </si>
  <si>
    <t>El profesional universitario de las TIC mantiene la aplicación del firewall para dar seguridad a las distintas transacciones dejando como evidencia el licenciamiento de estos.</t>
  </si>
  <si>
    <t xml:space="preserve">Coordinador de Trámite
</t>
  </si>
  <si>
    <t>Inadacuado manejo de las credenciales de acceso a los sistemas institucionale, desatención de los procedimientos institucionales.</t>
  </si>
  <si>
    <t>Posible</t>
  </si>
  <si>
    <t>Catastrófico</t>
  </si>
  <si>
    <t>falta de controles en la asignación de roles Y RESPONSABILIDADES dentro del software QUIPUX</t>
  </si>
  <si>
    <t>El líder del grupo de trabajo definan el requerimiento de los usuarios por roles y responsabilidades del software en cumplimiento de cada área y una vez no se encuentren en la entidad envien la solicitud de retiro de permisos.</t>
  </si>
  <si>
    <t>El líder de programa de manera aleatoria verifica que el funcionario de ventanilla solo atienda trámites de las placas a las cuales se les ha generado un turno dejando como evidencia informe mensual de los trámites.</t>
  </si>
  <si>
    <t>Posibilidad de afactación económica, legal y penal por fraude externo debido a la falta de controles en los procedimientos de gestión de trámites, no asignación de roles y responsabilidades</t>
  </si>
  <si>
    <t>Control 1: Los técnicos de atención al cliente realizan revisión de los poderes y mandatos en las páginas de las diferentes notarias a través del sistema de biometría</t>
  </si>
  <si>
    <t xml:space="preserve">Control 2:Los técnicos de atención al cliente confirman en la página web de la registradora nacional los documentos de identidad de las personas que otorgan poder o tramitan traspasos dejando como evidencia verificación de persona viva el cual se incluirá en la hoja de vida del vehículo con el fin de evitar suplantación de personas e identidad.
</t>
  </si>
  <si>
    <t>Control 3: los técnicos verifican que la hoja de vida de los vehículos de servicio público estén cargadas en el sistema IDOC para poder realizar los trámites, teniendo 3 días para cancelación de matrícula.</t>
  </si>
  <si>
    <t>Posibilidad de afectación económica y reputacional por retraso en el trámite de traslado de cuentas debido a la falta de un reporte del sistema para el envio del historial al transito de nueva residencia</t>
  </si>
  <si>
    <t>No existe control actual</t>
  </si>
  <si>
    <t>Solicitar al operador del sistema QX la habilitación para que el técnico operativo genere un reporte de los trámites diariamente.</t>
  </si>
  <si>
    <t>Líder de programa</t>
  </si>
  <si>
    <t>Implementar un formato fisico y electrónico con el cual se evidencie el recibo de las carpetas fisicas (recibida o entregada)por parte de los funcionarios</t>
  </si>
  <si>
    <t>acciones disciplinarias</t>
  </si>
  <si>
    <t xml:space="preserve"> incumplimiento de las disposiciones de elaboración y publicación de políticas derivadas del Modelo Integrado de Planeación y Gestión.</t>
  </si>
  <si>
    <t>Posibilidad de afectación  reputacional por acciones disciplinarias por el incumplimiento de las disposiciones de elaboración y publicación de políticas derivadas del Modelo Integrado de Planeación y Gestión.</t>
  </si>
  <si>
    <t>El jefe de la oficina asesora de planeación realiza verificación de los requerimientos para medición del índice de desempeño institucional contenidos en la herramienta del FURAG dejando como evidencia correos electrónicos enviados de solicitud de información de cada líder de política y certificación de diligenciamiento FURAG</t>
  </si>
  <si>
    <t>Posibilidad de afectación reputacional por acciones disciplinarias debido a la formulación y ejecución de los planes, programas o proyectos institucionales del ITA, fuera de lo establecido en el plan de desarrollo departamental desatendiendo las necesidades reales de la entidad, la misionalidad y la consecución de los objetivos estratégicos del ITA, por demoras en la entrega de la información por parte de los líderes de procesos y dificultades o fallas en la planeación estratégica que orienten y brinden un marco de referencia claro a seguir, en el desarrollo de las actividades, operaciones y/u objetivos.</t>
  </si>
  <si>
    <t>el jefe de planeación solicita por medio escrito o magnético a los líderes de los procesos los planes de acción por procesos de acuerdo al procedimiento "documento y revisión de planes de acción" Y "PROCEDIMIENTO FORMULACIÓN Y SEGUIMIENTO DEL PLAN INTEGRADO DE ACCIÓN ANUAL" dejando como evidencia el Plan de acción INTEGRADO Y OPERATIVO formulado</t>
  </si>
  <si>
    <t>El jefe de planeación realiza visitas de seguimiento a los planes de acción de cada proceso trimestralmente verificando que las actividades se hayan realizado de acuerdo a lo planificado,  dejando como evidencia informe de seguimiento al plan operativo y al Plan Integrado de Acción.</t>
  </si>
  <si>
    <t>El jefe de planeación realiza monitoreo trimestralmente a los controles establecidos dentro de los mapas de riesgos por procesos de la entidad dejando con evidencia informe de seguimiento</t>
  </si>
  <si>
    <t>peticiones de usuarios</t>
  </si>
  <si>
    <t>información desactualizada de los trámites del SUIT</t>
  </si>
  <si>
    <t>Posibilidad de afectación reputacional por peticiones de usuarios debido a información desactualizada de los trámites del SUIT</t>
  </si>
  <si>
    <t>El jefe de la oficina de planeanción verifica la identificación, priorización y racionalización de trámites con el fin de que estén actualizados de acuerdo a la resolución de las tarifas que se expide para cada vigencia así como la de los requisitos legales establecidos para cada trámite 12379 de 2012 dejando como evidencia trámites actualizados en SUIT.</t>
  </si>
  <si>
    <t>el jefe de planeación con acompañamiento del jefe de TIC ejecuta el procedimiento de gestión de conocimiento organizativo dejando como evidencias las actividades desarrolladas en cada vigencia.</t>
  </si>
  <si>
    <t>sanciones disciplinarias, penales, fiscales</t>
  </si>
  <si>
    <t>incumplimientos en términos de ley para publicar planes, proyectos e informes insitucionales a entes de control.</t>
  </si>
  <si>
    <t>Posibilidad de afectación aconómica y reputacional por sanciones disciplinarias, penales, fiscales debido al incumplimientos en términos de ley para publicar planes, proyectos e informes insitucionales a entes de control.</t>
  </si>
  <si>
    <t>El jefe de la oficina asesora de planeación realiza revisión de los documentos a publicar en el sitio web de acuerdo a los plazos de cada plan, si no se encuentran todos los documentos que por ley se deben publicar, se envía correo electrónico al responsable.</t>
  </si>
  <si>
    <t>Posibilidad de afectación reputacional por pérdida de confianza por parte de la ciudadanía al igual que posibles investigaciones por entes de control debido a demoras en el cargue de la información de los cursos realizados en la CIA del tránsito del Atlántico.</t>
  </si>
  <si>
    <t>El instructor diariamente realiza seguimiento al cargue de los cursos en el SIMIT dejando como evidencia registro en el formato de asistencia GRC - F02, el de planilla de cargue oportuno de información del cursos GRC - F09, encuesta de satisfacción y envía copia al correo del Subdirector de seguridad vial</t>
  </si>
  <si>
    <t>El instructor verifica trimestralmente los requisitos legales y normativos frente a las necesidades de los usuarios, a través del seguimiento de los lineamientos establecidos en el procedimiento planificación y desarrollo de cursos en normas de tránsito, dejando como registro acta de actualización.</t>
  </si>
  <si>
    <t>El instructor  analiza trimestralmente las técnicas didácticas o estrategias pedagógicas utilizadas durante los cursos pedagógicos por infracción a las normas de tránsito a través del seguimiento de los lineamientos establecidos en el procedimiento de planificación y desarrollo de cursos en normas de tránsito y la escuela de seguridad vial de la Agencia Nacional de Seguridad vial, dejando como registro las actas de seguimiento.</t>
  </si>
  <si>
    <t>El instructor realiza informe mensual de las infracciones más frecuentes y la infracción reincidente más frecuente dejando como evidencia el informe enviado al subdirector de seguridad vial.</t>
  </si>
  <si>
    <t xml:space="preserve">El instructor verifica que la persona que llegue a liquidar el curso sea el presunto infractor comparando el documento de identidad en físico frente a la orden de comparendo dejando como evidencia el acta que genera el sistema QUIPUX. </t>
  </si>
  <si>
    <t>Incluir dentro del procedimiento de verificación la impresión del acta que genera QUIPUX</t>
  </si>
  <si>
    <t>Ramón Fruto</t>
  </si>
  <si>
    <t>Reeducación al ciudadano</t>
  </si>
  <si>
    <t>Posibilidad de afectación reputacional por reprocesos, quejas de los usuarios y funcionarios de la entidad debido a la no disponibilidad de los insumos por no solicitud de los insumos al proveedor del servicio o que el proveedor no tenga disponibles los insumos solicitados.</t>
  </si>
  <si>
    <t xml:space="preserve">reprocesos, quejas de los usuarios y funcionarios de la entidad </t>
  </si>
  <si>
    <t>no disponibilidad de los insumos por no solicitud de los insumos al proveedor del servicio o que el proveedor no tenga disponibles los insumos solicitados.</t>
  </si>
  <si>
    <t>El jefe de la dependencia que tenga necesidad de ver los expedientes vehiculares y sus bases de datos realiza la solicitud mediante correo electrónico enviado al técnico operativo de gestión documental quien verifica y aprueba la solicitud para el usuario solicitante. Quedando como evidencia el registro de la solicitud en un libro de excel denominado "Formato de solicitudes recibidas"</t>
  </si>
  <si>
    <t>El técnico de atención al usuario que tenga necesidad de ver los expedientes vehiculares verificica si se encuentran digitalizados, si no, realiza la solicitud mediante correo electrónico enviado al técnico operativo de gestión documental quien carga el expediente en el programa de visualización. Quedando como evidencia el correo electrónico y el registro de la solicitud en un libro de excel denominado "Formato de solicitudes recibidas"</t>
  </si>
  <si>
    <t>Posibilidad de afectación económica y reputacional por sanciones del ente de control, afectación en la operación del proceso de gestión documental, reprocesos, retrasos o demoras en las respuestas a las PQRS de los usuarios debido a la no disponibilidad de la información de manera oportuna en caso de ser requerida por algún ciudadano o ente de control por pérdida o hurto de los expedientes documentales y falta de control en la custodia de la información.</t>
  </si>
  <si>
    <t xml:space="preserve">El técnico operativo de gestión documental asegura la implementación de los instrumentos archivísticos de la Entidad  dejando como evidencia los instrumentos actualizados </t>
  </si>
  <si>
    <t>El técnico operativo deberá presentar los avances del plan de acción de la gestión documental a las áreas asignadas dejando como evidencia el seguimiento al plan.</t>
  </si>
  <si>
    <t xml:space="preserve"> aumento en las violaciones de las normas de transito y pérdida de presencia como autoridad de transito en la jurisdicción</t>
  </si>
  <si>
    <t>Posibilidad de afectación reputacional por aumento en las violaciones de las normas de transito y pérdida de presencia como autoridad de transito en la jurisdicción debido a la ejecución de actividades por fuera de la planeación de los controles operativos.</t>
  </si>
  <si>
    <t>aumento en las violaciones de las normas de transito y pérdida de presencia como autoridad de transito en la jurisdicción</t>
  </si>
  <si>
    <t>Posibilidad de afectación reputacional por aumento en las violaciones de las normas de transito y pérdida de presencia como autoridad de transito en la jurisdicción  debido a la no realización de actividades de educación vial por falta de planificación o no ejecución de las actividades programadas</t>
  </si>
  <si>
    <t>falta credibilidad y confianza en la ciudadanía</t>
  </si>
  <si>
    <t>falta de señalización por deterioro, daño, vandalismo o hurto.</t>
  </si>
  <si>
    <t>Posibilidad de afectación reputacional por la falta credibilidad y confianza en la ciudadanía debido la falta de señalización por deterioro, daño, vandalismo o hurto.</t>
  </si>
  <si>
    <t>requerimiento de la Federación Colombiana de Municipios por el no pago debido a la entrega inoportuna de la información de la distribución de los porcentajes correspondientes al SIMIT y a POLCA en el recaudo local</t>
  </si>
  <si>
    <t>fallas en la generación de la información por defectos en el desarrollo del software o configuración incorrecta de parámetros del software.</t>
  </si>
  <si>
    <t>Posibilidad de afectación económica por requerimiento de la Federación Colombiana de Municipios por el no pago debido a la entrega inoportuna de la información de la distribución de los porcentajes correspondientes al SIMIT y a POLCA en el recaudo local como consecuencia de fallas en la generación de la información por defectos en el desarrollo del software o configuración incorrecta de parámetros del software.</t>
  </si>
  <si>
    <t>El proveedor del software contravencional revisa la parametrización del sistema con el fin de evidenciar que la información esté bien distribuida para los diferentes entes competentes (ITA, POLCA Y SIMIT)</t>
  </si>
  <si>
    <t>El inspector debe verificar en que etapa procesal se encuentra la orden de comparendo supervisando la fecha de imposición para determinar cuanto es el tiempo que tienen para fallar dentro de las normas vigentes quedando como evidencia el reporte en el sistema contravencional.</t>
  </si>
  <si>
    <t>El profesional especializado de contravenciones solicita reporte a los softwares relacionada con comparendos que se encuentran en audiencia pública con el fin de realizar seguimiento a la caducidad de los mismos quedando como evidencia la alerta en el sistema y un correo institucional.</t>
  </si>
  <si>
    <t>Posibilidad de recibir dádivas por la entrega irregular de licencias de conducción suspendidas o canceladas por parte un servidor.</t>
  </si>
  <si>
    <t>El profesional especializado de contravenciones valida en el expediente el fallo donde evidencia que el ciudadano haya cumplido con el término de suspensión, revisa que haya cumplido con la asistencia a las horas comunitarias y en el evento de ser absuelto el inspector hará la entrega de la licencia una vez haya proferido el fallo absolutorio y en el evento que el usuario se presente a solicitar la licencia con posterioridad a la emisión de la resolución absolutoria, el profesional especializado validará la información en el expediente y realizará la entrega.</t>
  </si>
  <si>
    <t>El técnico operativo de atención al usuario entrega el formato XXXXXX con el número de la placa y el número de folios firmado del trámite realizado al apoyo a la gestión para que este imprima la licencia de transito, una vez impresa, remite documentación al técnico operativo de archivo quien revisa que los documentos del trámite llevado a cabo cumplan con los requitos establecidos en la ley dejando como evidencia check list firmada para envio al archivo central.</t>
  </si>
  <si>
    <t>pérdida de confianza por parte de la ciudadanía, investigaciones disciplinarias, penales, civiles para los funcionarios y para el instituto</t>
  </si>
  <si>
    <t>desactualización e iconsistencias en la información de la base de datos del parque automor, limitaciones, alertas y tasa vehicular.</t>
  </si>
  <si>
    <t>Posibilidad de afectación reputacional y económica por pérdida de confianza por parte de la ciudadanía, investigaciones disciplinarias, penales, civiles para los funcionarios y para el instituto debido a la desactualización e iconsistencias en la información de la base de datos del parque automor, limitaciones, alertas y tasa vehicular.</t>
  </si>
  <si>
    <t>El personal de atención al cliente entrega formato RGT - F34 (Solicitud para corregir y/o completar información en la base de datos del ITA o del RUNT), al usuario con el fin de evidenciar la inconsistencia detectada por el funcionario o por solicitud del usuario, remitiendolo a la persona encargada de realizar el proceso de acuerdo a la solicitud del usuario, con el fin de buscar la solución al trámite identificado, dejando como evidencia registro del formato en el ORFEO.</t>
  </si>
  <si>
    <t>El técnico de trámites solicita las imágenes de la carpeta del historial del parque automotor al técnico del archivo de gestiòn documental del archivo central quedando como evidencia el correo enviado. (tres horas para montar la carpeta en el sistema IDOC)</t>
  </si>
  <si>
    <t>El técnico operativo informa al líder del programa el stock de inventario existentes de especies venales con el fin de establecer las necesidades de especies venales dejando como evidencia correo electrónico del informe presentado.</t>
  </si>
  <si>
    <t>integridad de la información</t>
  </si>
  <si>
    <t>Posibilidad de afectación economica y reputacional por integridad de la información debido a falta de controles en la asignación de roles Y RESPONSABILIDADES dentro del software QUIPUX</t>
  </si>
  <si>
    <t>el líder de programa trimestralmente realizará revisión de los usuarios y perfiles de los contratistas y funcionarios, soliciatnado la inactivación de los que no estén uso por desvinculación de funcionarios o terminación de contratos dejando como evidencia el correo electrónico de solicitud de cierre de perfil y correo electrónico al área de recursos humanos con la relación del personal vinculado.</t>
  </si>
  <si>
    <t>El líder de programa emite memorando con el objetivo de recordarles el cumplimiento y uso de las bases de datos de QX en oncrodancia con las funcionaes asignadas de igual forma la prohibición a contratidstas a realizxar modificaciones en el base de datos sin previa autorizaciój del líder de programa.</t>
  </si>
  <si>
    <t>pérdida de credibilidad, sanciones disciplinarias, penales y civiles</t>
  </si>
  <si>
    <t>pérdida o extravía de hoja de vida de los historiales de los vehículos durante el envio al transito de nueva residencia por efecto de trámite de traslado de cuentas que realizan los usuarios.</t>
  </si>
  <si>
    <t>Posibilidad de afectación económica y reputacional por pérdida de credibilidad, sanciones disciplinarias, penales y civiles debido a la pérdida o extravía de hoja de vida de los historiales de los vehículos durante el envio al transito de nueva residencia por efecto de trámite de traslado de cuentas que realizan los usuarios.</t>
  </si>
  <si>
    <t>Para la contratación del servicio de mensajería, dentro del proceso de contratación se verifique la idoneidad de las empresas de servicio de mensajería y requisitos de ley, y se establezcan condiciones para que para dentro del estudio previo se dejen las clausulas relacionadas con el tiempo de entrega, las devoluciones y la responsabilidades frente a la pérdida o extravío de los mismos y cumplimiento de contratos anteriores.</t>
  </si>
  <si>
    <t>no autorización de las capacitaciones por poco presupuesto o la baja participación de los servidores públicos en las capacitaciones grupales que se programan y ejecutan anualmente.</t>
  </si>
  <si>
    <t>Posibilidad de afectación reputacional por requerimiento de los usuarios internos e investigaciones administrativas por insuficiente desarrollo de las competencias y habilidades de los servidores públicos  debido a la no autorización de las capacitaciones por poco presupuesto o la baja participación de los servidores públicos en las capacitaciones grupales que se programan y ejecutan anualmente.</t>
  </si>
  <si>
    <t>El profesional especializado de talento humano genera capacitación a los líderes de procesos en cuanto a la obligación laboral con los contratistas, dejando como evidencia acta de reunión.</t>
  </si>
  <si>
    <t>El profesional especializado de talento humano realiza revisión y aprobación de nómina de acuerdo al procedimiento destinado para tal ejercicio dejando como evidencia la nómina y la planilla de pago de seguridad social.</t>
  </si>
  <si>
    <t>queja o reclamo de un servidor de la Entidad</t>
  </si>
  <si>
    <t xml:space="preserve"> inconsistencia en la liquidación de la nómina por reporte de novedades fuera de los plazos definidos en el cronograma.</t>
  </si>
  <si>
    <t>El profesional especializado de talento humano realiza revisión y aprobación de nómina de acuerdo al procedimiento destinado para tal ejercicio dejando como evidencia la liquidación de la nómina.</t>
  </si>
  <si>
    <t>El profesional especializado de Talento Humano revisa de manera permanente los requisitos del cargo establecidos en el Manual de Funciones y Competencias Laborales vigente, evidenciandose en el procedimiento de validación de requisitos e informa al Subdirector administrativo y financiero sobre la evaluación a la hoja de vida del candidato y definen su vinculación o no de acuerdo al grado de cumplimiento.</t>
  </si>
  <si>
    <t>Realizar actividades relacionadas con la ética pública.</t>
  </si>
  <si>
    <t>Gestión de Talento Humano</t>
  </si>
  <si>
    <t>revocatoria, vencimiento de juicio, ampliación de respuesta, corrección de conceptos</t>
  </si>
  <si>
    <t>Posibilidad de afectación económica y reputacional por revocatoria, vencimiento de juicio, ampliación de respuesta, corrección de conceptos,  como consecuencia de otorgar información errónea en el marco del apoyo jurídico que se realiza a todas las dependencias del ITA</t>
  </si>
  <si>
    <t>El jefe de jurídica da respuesta por medio electrónico u otros medios de las solicitudades de concepto jurídico allegadas a la oficina jurídica por parte de las diferentes áreas dejando como evidencia correo electrónico enviado, respuestas, resoluciones, ampliaciones de respuestas, conceptos, ampliación de conceptos con el visto bueno del jefe de la oficina jurídica.</t>
  </si>
  <si>
    <t>no materializado</t>
  </si>
  <si>
    <t>El jefe de jurídica concierta con dirección el fortalecimiento de las estrategias de cobro para aumentar el recaudo efectivo dejando como evidencia correo electrónico</t>
  </si>
  <si>
    <t>El jefe de jurídica  emite las directrices de defensa constitucional para que el área de tutelas proyecte las respuestas en lo que a derechos se refiere y acatando el término judicial dejando como evidencia el fallo en primera o segunda instancia favorable o desfavorable</t>
  </si>
  <si>
    <t>El área de jurídica destina un correo institucional para el envío de respuesta a los peticionarios, dejando trazabilidad de proceso mediante el correo enviado.</t>
  </si>
  <si>
    <t>El jefe de juridica establece procesos expeditos para cada trámite que tienen un control permanente a través de los sistemas de información dejando como evidencia los productos generados por el sistema (IDOC, CONSTRUSEÑALES, SAR, QX, CIVITRANS, ORFEO, SIMIT, RUNT)</t>
  </si>
  <si>
    <t>una vez revisado se realiza trazabilidad, se paralizó la actividad, se debe modificar a un nivel institucional.</t>
  </si>
  <si>
    <t>MATERIALIZADO: 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</si>
</sst>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sz val="11"/>
      <color theme="1"/>
      <name val="Calibri"/>
      <family val="2"/>
      <scheme val="minor"/>
    </font>
    <font>
      <b/>
      <sz val="22"/>
      <color theme="1"/>
      <name val="Arial Narrow"/>
      <family val="2"/>
    </font>
    <font>
      <b/>
      <sz val="11"/>
      <color theme="1"/>
      <name val="Arial Narrow"/>
      <family val="2"/>
    </font>
    <font>
      <b/>
      <sz val="9"/>
      <color theme="1"/>
      <name val="Arial Narrow"/>
      <family val="2"/>
    </font>
    <font>
      <b/>
      <sz val="10"/>
      <color theme="1"/>
      <name val="Arial Narrow"/>
      <family val="2"/>
    </font>
    <font>
      <b/>
      <sz val="14"/>
      <color theme="1"/>
      <name val="Arial Narrow"/>
      <family val="2"/>
    </font>
    <font>
      <sz val="9"/>
      <color theme="1"/>
      <name val="Arial Narrow"/>
      <family val="2"/>
    </font>
    <font>
      <b/>
      <sz val="12"/>
      <color theme="1"/>
      <name val="Arial Narrow"/>
      <family val="2"/>
    </font>
    <font>
      <sz val="9"/>
      <color theme="1"/>
      <name val="Calibri"/>
      <family val="2"/>
      <scheme val="minor"/>
    </font>
    <font>
      <sz val="10"/>
      <color theme="1"/>
      <name val="Arial Narrow"/>
      <family val="2"/>
    </font>
    <font>
      <sz val="11"/>
      <color theme="1"/>
      <name val="Arial Narrow"/>
      <family val="2"/>
    </font>
    <font>
      <sz val="8"/>
      <color theme="1"/>
      <name val="Arial Narrow"/>
      <family val="2"/>
    </font>
    <font>
      <sz val="8"/>
      <name val="Calibri"/>
      <family val="2"/>
      <scheme val="minor"/>
    </font>
    <font>
      <sz val="10"/>
      <name val="Arial Narrow"/>
      <family val="2"/>
    </font>
    <font>
      <b/>
      <sz val="10"/>
      <name val="Arial Narrow"/>
      <family val="2"/>
    </font>
    <font>
      <sz val="11"/>
      <name val="Calibri"/>
      <family val="2"/>
      <scheme val="minor"/>
    </font>
    <font>
      <sz val="8"/>
      <name val="Arial Narrow"/>
      <family val="2"/>
    </font>
    <font>
      <b/>
      <sz val="9"/>
      <color indexed="81"/>
      <name val="Tahoma"/>
      <family val="2"/>
    </font>
    <font>
      <sz val="9"/>
      <color indexed="81"/>
      <name val="Tahoma"/>
      <family val="2"/>
    </font>
    <font>
      <sz val="10"/>
      <name val="Arial"/>
      <family val="2"/>
    </font>
    <font>
      <sz val="10"/>
      <color theme="1"/>
      <name val="Calibri"/>
      <family val="2"/>
      <scheme val="minor"/>
    </font>
    <font>
      <sz val="12"/>
      <name val="Times New Roman"/>
      <family val="1"/>
    </font>
    <font>
      <sz val="11"/>
      <name val="Arial Narrow"/>
      <family val="2"/>
    </font>
    <font>
      <b/>
      <sz val="11"/>
      <name val="Arial Narrow"/>
      <family val="2"/>
    </font>
    <font>
      <b/>
      <sz val="10"/>
      <color theme="1"/>
      <name val="Calibri"/>
      <family val="2"/>
      <scheme val="minor"/>
    </font>
    <font>
      <b/>
      <sz val="10"/>
      <name val="Calibri"/>
      <family val="2"/>
      <scheme val="minor"/>
    </font>
    <font>
      <sz val="10"/>
      <name val="Calibri"/>
      <family val="2"/>
      <scheme val="minor"/>
    </font>
    <font>
      <sz val="10"/>
      <color rgb="FFFF0000"/>
      <name val="Calibri"/>
      <family val="2"/>
      <scheme val="minor"/>
    </font>
    <font>
      <sz val="9"/>
      <name val="Calibri"/>
      <family val="2"/>
      <scheme val="minor"/>
    </font>
    <font>
      <b/>
      <sz val="9"/>
      <color indexed="81"/>
      <name val="Tahoma"/>
      <charset val="1"/>
    </font>
    <font>
      <sz val="9"/>
      <color indexed="81"/>
      <name val="Tahoma"/>
      <charset val="1"/>
    </font>
    <font>
      <b/>
      <sz val="9"/>
      <color theme="1"/>
      <name val="Calibri"/>
      <family val="2"/>
      <scheme val="minor"/>
    </font>
    <font>
      <b/>
      <sz val="9"/>
      <color indexed="81"/>
      <name val="Tahoma"/>
    </font>
    <font>
      <sz val="9"/>
      <color indexed="81"/>
      <name val="Tahoma"/>
    </font>
  </fonts>
  <fills count="7">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rgb="FFFF0000"/>
        <bgColor indexed="64"/>
      </patternFill>
    </fill>
    <fill>
      <patternFill patternType="solid">
        <fgColor theme="1"/>
        <bgColor indexed="64"/>
      </patternFill>
    </fill>
    <fill>
      <patternFill patternType="solid">
        <fgColor theme="2" tint="-9.9978637043366805E-2"/>
        <bgColor indexed="64"/>
      </patternFill>
    </fill>
  </fills>
  <borders count="123">
    <border>
      <left/>
      <right/>
      <top/>
      <bottom/>
      <diagonal/>
    </border>
    <border>
      <left/>
      <right/>
      <top style="dashed">
        <color indexed="64"/>
      </top>
      <bottom/>
      <diagonal/>
    </border>
    <border>
      <left/>
      <right style="dashed">
        <color indexed="64"/>
      </right>
      <top style="dashed">
        <color indexed="64"/>
      </top>
      <bottom/>
      <diagonal/>
    </border>
    <border>
      <left style="dotted">
        <color indexed="64"/>
      </left>
      <right style="dashed">
        <color indexed="64"/>
      </right>
      <top style="dashed">
        <color indexed="64"/>
      </top>
      <bottom/>
      <diagonal/>
    </border>
    <border>
      <left/>
      <right style="dotted">
        <color indexed="64"/>
      </right>
      <top style="dotted">
        <color indexed="64"/>
      </top>
      <bottom/>
      <diagonal/>
    </border>
    <border>
      <left/>
      <right style="dashed">
        <color indexed="64"/>
      </right>
      <top/>
      <bottom/>
      <diagonal/>
    </border>
    <border>
      <left style="dotted">
        <color indexed="64"/>
      </left>
      <right style="dash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bottom/>
      <diagonal/>
    </border>
    <border>
      <left/>
      <right style="dotted">
        <color indexed="64"/>
      </right>
      <top/>
      <bottom style="dott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indexed="64"/>
      </top>
      <bottom/>
      <diagonal/>
    </border>
    <border>
      <left style="dashed">
        <color theme="9" tint="-0.24994659260841701"/>
      </left>
      <right/>
      <top style="dashed">
        <color indexed="64"/>
      </top>
      <bottom/>
      <diagonal/>
    </border>
    <border>
      <left style="dashed">
        <color indexed="64"/>
      </left>
      <right style="dashed">
        <color indexed="64"/>
      </right>
      <top style="dashed">
        <color indexed="64"/>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dashed">
        <color indexed="64"/>
      </left>
      <right style="dashed">
        <color indexed="64"/>
      </right>
      <top/>
      <bottom style="dashed">
        <color indexed="64"/>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right/>
      <top style="medium">
        <color indexed="64"/>
      </top>
      <bottom/>
      <diagonal/>
    </border>
    <border>
      <left style="dashed">
        <color indexed="64"/>
      </left>
      <right style="dashed">
        <color indexed="64"/>
      </right>
      <top/>
      <bottom/>
      <diagonal/>
    </border>
    <border>
      <left style="dashed">
        <color theme="9" tint="-0.24994659260841701"/>
      </left>
      <right style="medium">
        <color indexed="64"/>
      </right>
      <top/>
      <bottom/>
      <diagonal/>
    </border>
    <border>
      <left style="dashed">
        <color theme="9" tint="-0.24994659260841701"/>
      </left>
      <right style="dashed">
        <color theme="9" tint="-0.24994659260841701"/>
      </right>
      <top style="medium">
        <color indexed="64"/>
      </top>
      <bottom style="dashed">
        <color theme="9" tint="-0.24994659260841701"/>
      </bottom>
      <diagonal/>
    </border>
    <border>
      <left/>
      <right/>
      <top style="dashed">
        <color theme="9" tint="-0.24994659260841701"/>
      </top>
      <bottom/>
      <diagonal/>
    </border>
    <border>
      <left/>
      <right style="dashed">
        <color theme="9" tint="-0.249977111117893"/>
      </right>
      <top style="dashed">
        <color theme="9" tint="-0.24994659260841701"/>
      </top>
      <bottom/>
      <diagonal/>
    </border>
    <border>
      <left/>
      <right style="dashed">
        <color theme="9" tint="-0.249977111117893"/>
      </right>
      <top/>
      <bottom/>
      <diagonal/>
    </border>
    <border>
      <left/>
      <right/>
      <top/>
      <bottom style="dashed">
        <color theme="9" tint="-0.249977111117893"/>
      </bottom>
      <diagonal/>
    </border>
    <border>
      <left/>
      <right style="dashed">
        <color theme="9" tint="-0.249977111117893"/>
      </right>
      <top/>
      <bottom style="dashed">
        <color theme="9" tint="-0.249977111117893"/>
      </bottom>
      <diagonal/>
    </border>
    <border>
      <left style="dashed">
        <color theme="9" tint="-0.24994659260841701"/>
      </left>
      <right/>
      <top style="dashed">
        <color theme="9" tint="-0.24994659260841701"/>
      </top>
      <bottom style="dashed">
        <color theme="9" tint="-0.24994659260841701"/>
      </bottom>
      <diagonal/>
    </border>
    <border>
      <left style="dashed">
        <color theme="9" tint="-0.24994659260841701"/>
      </left>
      <right/>
      <top style="dashed">
        <color theme="9" tint="-0.24994659260841701"/>
      </top>
      <bottom/>
      <diagonal/>
    </border>
    <border>
      <left style="medium">
        <color indexed="64"/>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diagonal/>
    </border>
    <border>
      <left style="dashed">
        <color theme="9" tint="-0.24994659260841701"/>
      </left>
      <right style="medium">
        <color indexed="64"/>
      </right>
      <top style="medium">
        <color indexed="64"/>
      </top>
      <bottom/>
      <diagonal/>
    </border>
    <border>
      <left style="medium">
        <color indexed="64"/>
      </left>
      <right style="dashed">
        <color theme="9" tint="-0.24994659260841701"/>
      </right>
      <top/>
      <bottom/>
      <diagonal/>
    </border>
    <border>
      <left style="medium">
        <color indexed="64"/>
      </left>
      <right style="dashed">
        <color theme="9" tint="-0.24994659260841701"/>
      </right>
      <top/>
      <bottom style="medium">
        <color indexed="64"/>
      </bottom>
      <diagonal/>
    </border>
    <border>
      <left style="dashed">
        <color theme="9" tint="-0.24994659260841701"/>
      </left>
      <right style="dashed">
        <color theme="9" tint="-0.24994659260841701"/>
      </right>
      <top/>
      <bottom style="medium">
        <color indexed="64"/>
      </bottom>
      <diagonal/>
    </border>
    <border>
      <left style="dashed">
        <color theme="9" tint="-0.24994659260841701"/>
      </left>
      <right style="dashed">
        <color theme="9" tint="-0.24994659260841701"/>
      </right>
      <top style="dashed">
        <color theme="9" tint="-0.24994659260841701"/>
      </top>
      <bottom style="medium">
        <color indexed="64"/>
      </bottom>
      <diagonal/>
    </border>
    <border>
      <left style="dashed">
        <color indexed="64"/>
      </left>
      <right/>
      <top style="dashed">
        <color theme="9" tint="-0.24994659260841701"/>
      </top>
      <bottom style="medium">
        <color indexed="64"/>
      </bottom>
      <diagonal/>
    </border>
    <border>
      <left style="dashed">
        <color indexed="64"/>
      </left>
      <right style="dashed">
        <color indexed="64"/>
      </right>
      <top style="dashed">
        <color indexed="64"/>
      </top>
      <bottom style="medium">
        <color indexed="64"/>
      </bottom>
      <diagonal/>
    </border>
    <border>
      <left/>
      <right style="dashed">
        <color theme="9" tint="-0.24994659260841701"/>
      </right>
      <top style="dashed">
        <color theme="9" tint="-0.24994659260841701"/>
      </top>
      <bottom style="medium">
        <color indexed="64"/>
      </bottom>
      <diagonal/>
    </border>
    <border>
      <left style="dashed">
        <color theme="9" tint="-0.24994659260841701"/>
      </left>
      <right style="medium">
        <color indexed="64"/>
      </right>
      <top/>
      <bottom style="medium">
        <color indexed="64"/>
      </bottom>
      <diagonal/>
    </border>
    <border>
      <left style="dashed">
        <color theme="9" tint="-0.24994659260841701"/>
      </left>
      <right/>
      <top style="dashed">
        <color theme="9" tint="-0.24994659260841701"/>
      </top>
      <bottom style="medium">
        <color indexed="64"/>
      </bottom>
      <diagonal/>
    </border>
    <border>
      <left/>
      <right/>
      <top style="dashed">
        <color theme="9" tint="-0.24994659260841701"/>
      </top>
      <bottom style="medium">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ashed">
        <color theme="9" tint="-0.24994659260841701"/>
      </top>
      <bottom/>
      <diagonal/>
    </border>
    <border>
      <left/>
      <right style="dashed">
        <color theme="9" tint="-0.24994659260841701"/>
      </right>
      <top style="dashed">
        <color theme="9" tint="-0.24994659260841701"/>
      </top>
      <bottom/>
      <diagonal/>
    </border>
    <border>
      <left style="medium">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ashed">
        <color indexed="64"/>
      </top>
      <bottom/>
      <diagonal/>
    </border>
    <border>
      <left style="dotted">
        <color indexed="64"/>
      </left>
      <right style="dotted">
        <color indexed="64"/>
      </right>
      <top style="dotted">
        <color indexed="64"/>
      </top>
      <bottom/>
      <diagonal/>
    </border>
    <border>
      <left/>
      <right style="dashed">
        <color theme="9" tint="-0.24994659260841701"/>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dashed">
        <color indexed="64"/>
      </top>
      <bottom/>
      <diagonal/>
    </border>
    <border>
      <left style="dashed">
        <color indexed="64"/>
      </left>
      <right/>
      <top/>
      <bottom/>
      <diagonal/>
    </border>
    <border>
      <left style="dotted">
        <color indexed="64"/>
      </left>
      <right style="dotted">
        <color indexed="64"/>
      </right>
      <top/>
      <bottom style="dotted">
        <color indexed="64"/>
      </bottom>
      <diagonal/>
    </border>
    <border>
      <left style="dotted">
        <color indexed="64"/>
      </left>
      <right/>
      <top/>
      <bottom/>
      <diagonal/>
    </border>
    <border>
      <left style="dotted">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bottom style="dashed">
        <color indexed="64"/>
      </bottom>
      <diagonal/>
    </border>
    <border>
      <left style="dashed">
        <color indexed="64"/>
      </left>
      <right style="dashed">
        <color theme="9" tint="-0.24994659260841701"/>
      </right>
      <top style="dashed">
        <color theme="9" tint="-0.24994659260841701"/>
      </top>
      <bottom style="dashed">
        <color indexed="64"/>
      </bottom>
      <diagonal/>
    </border>
    <border>
      <left style="dashed">
        <color indexed="64"/>
      </left>
      <right style="dashed">
        <color theme="9" tint="-0.24994659260841701"/>
      </right>
      <top style="dashed">
        <color indexed="64"/>
      </top>
      <bottom style="dashed">
        <color theme="9" tint="-0.24994659260841701"/>
      </bottom>
      <diagonal/>
    </border>
    <border>
      <left style="dashed">
        <color theme="9" tint="-0.24994659260841701"/>
      </left>
      <right style="dashed">
        <color theme="9" tint="-0.24994659260841701"/>
      </right>
      <top style="dashed">
        <color indexed="64"/>
      </top>
      <bottom style="dashed">
        <color theme="9" tint="-0.24994659260841701"/>
      </bottom>
      <diagonal/>
    </border>
    <border>
      <left style="dashed">
        <color theme="9" tint="-0.24994659260841701"/>
      </left>
      <right style="dashed">
        <color indexed="64"/>
      </right>
      <top style="dashed">
        <color indexed="64"/>
      </top>
      <bottom/>
      <diagonal/>
    </border>
    <border>
      <left style="dashed">
        <color theme="9" tint="-0.24994659260841701"/>
      </left>
      <right style="dashed">
        <color theme="9" tint="-0.24994659260841701"/>
      </right>
      <top style="dashed">
        <color theme="9" tint="-0.24994659260841701"/>
      </top>
      <bottom style="dashed">
        <color indexed="64"/>
      </bottom>
      <diagonal/>
    </border>
    <border>
      <left style="dashed">
        <color theme="9" tint="-0.24994659260841701"/>
      </left>
      <right/>
      <top style="dashed">
        <color theme="9" tint="-0.24994659260841701"/>
      </top>
      <bottom style="dashed">
        <color indexed="64"/>
      </bottom>
      <diagonal/>
    </border>
    <border>
      <left/>
      <right style="dotted">
        <color indexed="64"/>
      </right>
      <top/>
      <bottom/>
      <diagonal/>
    </border>
    <border>
      <left/>
      <right style="dashed">
        <color theme="9" tint="-0.24994659260841701"/>
      </right>
      <top/>
      <bottom style="dashed">
        <color theme="9" tint="-0.24994659260841701"/>
      </bottom>
      <diagonal/>
    </border>
    <border>
      <left style="dashed">
        <color indexed="64"/>
      </left>
      <right style="dashed">
        <color indexed="64"/>
      </right>
      <top style="hair">
        <color indexed="64"/>
      </top>
      <bottom/>
      <diagonal/>
    </border>
    <border>
      <left style="dashed">
        <color indexed="64"/>
      </left>
      <right style="dashed">
        <color theme="9" tint="-0.24994659260841701"/>
      </right>
      <top style="medium">
        <color indexed="64"/>
      </top>
      <bottom/>
      <diagonal/>
    </border>
    <border>
      <left style="dashed">
        <color indexed="64"/>
      </left>
      <right style="dashed">
        <color theme="9" tint="-0.24994659260841701"/>
      </right>
      <top/>
      <bottom/>
      <diagonal/>
    </border>
    <border>
      <left style="dashed">
        <color indexed="64"/>
      </left>
      <right style="dashed">
        <color theme="9" tint="-0.24994659260841701"/>
      </right>
      <top/>
      <bottom style="medium">
        <color indexed="64"/>
      </bottom>
      <diagonal/>
    </border>
    <border>
      <left style="medium">
        <color indexed="64"/>
      </left>
      <right style="medium">
        <color indexed="64"/>
      </right>
      <top/>
      <bottom/>
      <diagonal/>
    </border>
    <border>
      <left style="dotted">
        <color indexed="64"/>
      </left>
      <right style="dashed">
        <color indexed="64"/>
      </right>
      <top style="dotted">
        <color indexed="64"/>
      </top>
      <bottom/>
      <diagonal/>
    </border>
    <border>
      <left style="dotted">
        <color indexed="64"/>
      </left>
      <right style="dashed">
        <color indexed="64"/>
      </right>
      <top/>
      <bottom style="dashed">
        <color indexed="64"/>
      </bottom>
      <diagonal/>
    </border>
    <border>
      <left style="dotted">
        <color indexed="64"/>
      </left>
      <right style="dotted">
        <color indexed="64"/>
      </right>
      <top/>
      <bottom style="medium">
        <color indexed="64"/>
      </bottom>
      <diagonal/>
    </border>
    <border>
      <left style="dashed">
        <color indexed="64"/>
      </left>
      <right style="dotted">
        <color indexed="64"/>
      </right>
      <top style="dotted">
        <color indexed="64"/>
      </top>
      <bottom/>
      <diagonal/>
    </border>
    <border>
      <left style="dashed">
        <color indexed="64"/>
      </left>
      <right style="dotted">
        <color indexed="64"/>
      </right>
      <top/>
      <bottom/>
      <diagonal/>
    </border>
    <border>
      <left style="dashed">
        <color indexed="64"/>
      </left>
      <right style="dotted">
        <color indexed="64"/>
      </right>
      <top/>
      <bottom style="dashed">
        <color indexed="64"/>
      </bottom>
      <diagonal/>
    </border>
    <border>
      <left style="dotted">
        <color indexed="64"/>
      </left>
      <right style="dashed">
        <color indexed="64"/>
      </right>
      <top/>
      <bottom style="dotted">
        <color indexed="64"/>
      </bottom>
      <diagonal/>
    </border>
    <border>
      <left style="dashed">
        <color indexed="64"/>
      </left>
      <right style="dotted">
        <color indexed="64"/>
      </right>
      <top/>
      <bottom style="dotted">
        <color indexed="64"/>
      </bottom>
      <diagonal/>
    </border>
    <border>
      <left style="dashed">
        <color indexed="64"/>
      </left>
      <right style="dotted">
        <color indexed="64"/>
      </right>
      <top style="dashed">
        <color indexed="64"/>
      </top>
      <bottom/>
      <diagonal/>
    </border>
    <border>
      <left style="dash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hair">
        <color indexed="64"/>
      </left>
      <right style="dashed">
        <color indexed="64"/>
      </right>
      <top style="hair">
        <color indexed="64"/>
      </top>
      <bottom/>
      <diagonal/>
    </border>
    <border>
      <left style="hair">
        <color indexed="64"/>
      </left>
      <right style="dashed">
        <color indexed="64"/>
      </right>
      <top/>
      <bottom/>
      <diagonal/>
    </border>
    <border>
      <left style="hair">
        <color indexed="64"/>
      </left>
      <right style="dashed">
        <color indexed="64"/>
      </right>
      <top/>
      <bottom style="dotted">
        <color indexed="64"/>
      </bottom>
      <diagonal/>
    </border>
    <border>
      <left style="hair">
        <color indexed="64"/>
      </left>
      <right style="hair">
        <color indexed="64"/>
      </right>
      <top/>
      <bottom style="dashed">
        <color indexed="64"/>
      </bottom>
      <diagonal/>
    </border>
    <border>
      <left style="hair">
        <color indexed="64"/>
      </left>
      <right style="dashed">
        <color indexed="64"/>
      </right>
      <top style="dashed">
        <color indexed="64"/>
      </top>
      <bottom/>
      <diagonal/>
    </border>
    <border>
      <left style="hair">
        <color indexed="64"/>
      </left>
      <right style="dashed">
        <color indexed="64"/>
      </right>
      <top/>
      <bottom style="hair">
        <color indexed="64"/>
      </bottom>
      <diagonal/>
    </border>
    <border>
      <left style="hair">
        <color indexed="64"/>
      </left>
      <right style="hair">
        <color indexed="64"/>
      </right>
      <top style="dotted">
        <color indexed="64"/>
      </top>
      <bottom/>
      <diagonal/>
    </border>
    <border>
      <left style="dashed">
        <color indexed="64"/>
      </left>
      <right style="dashed">
        <color indexed="64"/>
      </right>
      <top style="dotted">
        <color indexed="64"/>
      </top>
      <bottom/>
      <diagonal/>
    </border>
    <border>
      <left style="dashed">
        <color indexed="64"/>
      </left>
      <right style="dashed">
        <color indexed="64"/>
      </right>
      <top/>
      <bottom style="dotted">
        <color indexed="64"/>
      </bottom>
      <diagonal/>
    </border>
    <border>
      <left style="dashed">
        <color theme="9" tint="-0.24994659260841701"/>
      </left>
      <right style="dashed">
        <color indexed="64"/>
      </right>
      <top style="medium">
        <color indexed="64"/>
      </top>
      <bottom/>
      <diagonal/>
    </border>
    <border>
      <left style="dashed">
        <color theme="9" tint="-0.24994659260841701"/>
      </left>
      <right style="dashed">
        <color indexed="64"/>
      </right>
      <top/>
      <bottom/>
      <diagonal/>
    </border>
    <border>
      <left style="dashed">
        <color theme="9" tint="-0.24994659260841701"/>
      </left>
      <right style="dashed">
        <color indexed="64"/>
      </right>
      <top/>
      <bottom style="medium">
        <color indexed="64"/>
      </bottom>
      <diagonal/>
    </border>
    <border>
      <left style="hair">
        <color indexed="64"/>
      </left>
      <right style="hair">
        <color indexed="64"/>
      </right>
      <top style="thin">
        <color indexed="64"/>
      </top>
      <bottom/>
      <diagonal/>
    </border>
    <border>
      <left style="dashed">
        <color indexed="64"/>
      </left>
      <right style="dashed">
        <color indexed="64"/>
      </right>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
      <left style="dotted">
        <color indexed="64"/>
      </left>
      <right style="dotted">
        <color indexed="64"/>
      </right>
      <top/>
      <bottom style="thin">
        <color auto="1"/>
      </bottom>
      <diagonal/>
    </border>
    <border>
      <left style="hair">
        <color indexed="64"/>
      </left>
      <right style="hair">
        <color indexed="64"/>
      </right>
      <top/>
      <bottom style="dotted">
        <color indexed="64"/>
      </bottom>
      <diagonal/>
    </border>
    <border>
      <left style="hair">
        <color indexed="64"/>
      </left>
      <right style="hair">
        <color indexed="64"/>
      </right>
      <top/>
      <bottom style="medium">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dashed">
        <color indexed="64"/>
      </top>
      <bottom style="hair">
        <color indexed="64"/>
      </bottom>
      <diagonal/>
    </border>
  </borders>
  <cellStyleXfs count="5">
    <xf numFmtId="0" fontId="0" fillId="0" borderId="0"/>
    <xf numFmtId="9" fontId="1" fillId="0" borderId="0" applyFont="0" applyFill="0" applyBorder="0" applyAlignment="0" applyProtection="0"/>
    <xf numFmtId="0" fontId="20" fillId="0" borderId="0"/>
    <xf numFmtId="0" fontId="21" fillId="0" borderId="0"/>
    <xf numFmtId="0" fontId="22" fillId="0" borderId="0"/>
  </cellStyleXfs>
  <cellXfs count="663">
    <xf numFmtId="0" fontId="0" fillId="0" borderId="0" xfId="0"/>
    <xf numFmtId="0" fontId="0" fillId="2" borderId="3" xfId="0" applyFill="1" applyBorder="1" applyProtection="1">
      <protection locked="0"/>
    </xf>
    <xf numFmtId="0" fontId="0" fillId="2" borderId="4" xfId="0" applyFill="1" applyBorder="1" applyProtection="1">
      <protection locked="0"/>
    </xf>
    <xf numFmtId="0" fontId="0" fillId="0" borderId="0" xfId="0" applyProtection="1">
      <protection locked="0"/>
    </xf>
    <xf numFmtId="0" fontId="0" fillId="2" borderId="6" xfId="0" applyFill="1" applyBorder="1" applyProtection="1">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wrapText="1"/>
      <protection locked="0"/>
    </xf>
    <xf numFmtId="0" fontId="0" fillId="2" borderId="9" xfId="0" applyFill="1" applyBorder="1" applyProtection="1">
      <protection locked="0"/>
    </xf>
    <xf numFmtId="0" fontId="3" fillId="2" borderId="13"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protection locked="0"/>
    </xf>
    <xf numFmtId="0" fontId="9" fillId="0" borderId="0" xfId="0" applyFont="1" applyProtection="1">
      <protection locked="0"/>
    </xf>
    <xf numFmtId="0" fontId="10" fillId="2" borderId="13"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3" fillId="0" borderId="13" xfId="0" applyFont="1" applyBorder="1" applyAlignment="1" applyProtection="1">
      <alignment horizontal="justify" vertical="center" readingOrder="1"/>
      <protection locked="0"/>
    </xf>
    <xf numFmtId="0" fontId="14" fillId="3" borderId="13"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4" fontId="11" fillId="0" borderId="19" xfId="0" applyNumberFormat="1" applyFont="1" applyBorder="1" applyAlignment="1" applyProtection="1">
      <alignment horizontal="center" vertical="center"/>
      <protection locked="0"/>
    </xf>
    <xf numFmtId="0" fontId="0" fillId="0" borderId="0" xfId="0" applyAlignment="1" applyProtection="1">
      <alignment wrapText="1"/>
      <protection locked="0"/>
    </xf>
    <xf numFmtId="0" fontId="11" fillId="0" borderId="19" xfId="0" applyFont="1" applyBorder="1" applyAlignment="1" applyProtection="1">
      <alignment horizontal="center" vertical="center"/>
      <protection locked="0"/>
    </xf>
    <xf numFmtId="0" fontId="0" fillId="0" borderId="0" xfId="0" applyAlignment="1" applyProtection="1">
      <alignment vertical="center"/>
      <protection locked="0"/>
    </xf>
    <xf numFmtId="0" fontId="13" fillId="0" borderId="26" xfId="0" applyFont="1" applyBorder="1" applyAlignment="1" applyProtection="1">
      <alignment horizontal="justify" vertical="center" readingOrder="1"/>
      <protection locked="0"/>
    </xf>
    <xf numFmtId="0" fontId="17" fillId="0" borderId="19"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wrapText="1"/>
      <protection locked="0"/>
    </xf>
    <xf numFmtId="0" fontId="13" fillId="0" borderId="0" xfId="0" applyFont="1" applyAlignment="1" applyProtection="1">
      <alignment vertical="center" wrapText="1"/>
      <protection locked="0"/>
    </xf>
    <xf numFmtId="0" fontId="13" fillId="0" borderId="19" xfId="0" applyFont="1" applyBorder="1" applyAlignment="1" applyProtection="1">
      <alignment horizontal="justify" vertical="center" wrapText="1"/>
      <protection locked="0"/>
    </xf>
    <xf numFmtId="0" fontId="12" fillId="0" borderId="13" xfId="0" applyFont="1" applyBorder="1" applyAlignment="1" applyProtection="1">
      <alignment horizontal="justify" vertical="center" wrapText="1"/>
      <protection locked="0"/>
    </xf>
    <xf numFmtId="0" fontId="10" fillId="0" borderId="13" xfId="0" applyFont="1" applyBorder="1" applyAlignment="1" applyProtection="1">
      <alignment horizontal="justify" vertical="center" wrapText="1"/>
      <protection locked="0"/>
    </xf>
    <xf numFmtId="14" fontId="11" fillId="0" borderId="19" xfId="0" applyNumberFormat="1" applyFont="1" applyBorder="1" applyAlignment="1" applyProtection="1">
      <alignment horizontal="center" vertical="center" wrapText="1"/>
      <protection locked="0"/>
    </xf>
    <xf numFmtId="14" fontId="11" fillId="0" borderId="29" xfId="0" applyNumberFormat="1" applyFont="1" applyBorder="1" applyAlignment="1" applyProtection="1">
      <alignment horizontal="center" vertical="center"/>
      <protection locked="0"/>
    </xf>
    <xf numFmtId="0" fontId="0" fillId="0" borderId="26" xfId="0" applyBorder="1" applyAlignment="1" applyProtection="1">
      <alignment wrapText="1"/>
      <protection locked="0"/>
    </xf>
    <xf numFmtId="0" fontId="11" fillId="0" borderId="29" xfId="0" applyFont="1" applyBorder="1" applyAlignment="1" applyProtection="1">
      <alignment horizontal="center" vertical="center"/>
      <protection locked="0"/>
    </xf>
    <xf numFmtId="0" fontId="6" fillId="2" borderId="25" xfId="0" applyFont="1" applyFill="1" applyBorder="1" applyAlignment="1" applyProtection="1">
      <alignment horizontal="center" vertical="center" textRotation="90"/>
      <protection locked="0"/>
    </xf>
    <xf numFmtId="0" fontId="11" fillId="2" borderId="0"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textRotation="90" wrapText="1"/>
      <protection locked="0"/>
    </xf>
    <xf numFmtId="0" fontId="6" fillId="2" borderId="20" xfId="0" applyFont="1" applyFill="1" applyBorder="1" applyAlignment="1" applyProtection="1">
      <alignment horizontal="center" vertical="center" textRotation="90"/>
      <protection locked="0"/>
    </xf>
    <xf numFmtId="0" fontId="3" fillId="2" borderId="25" xfId="0" applyFont="1" applyFill="1" applyBorder="1" applyAlignment="1" applyProtection="1">
      <alignment horizontal="center" vertical="center" textRotation="90"/>
      <protection locked="0"/>
    </xf>
    <xf numFmtId="0" fontId="3" fillId="2" borderId="25" xfId="0" applyFont="1" applyFill="1" applyBorder="1" applyAlignment="1" applyProtection="1">
      <alignment horizontal="center" vertical="center" textRotation="90" wrapText="1"/>
      <protection locked="0"/>
    </xf>
    <xf numFmtId="0" fontId="11" fillId="0" borderId="29" xfId="0" applyFont="1" applyBorder="1" applyAlignment="1" applyProtection="1">
      <alignment horizontal="center" vertical="center" wrapText="1"/>
      <protection locked="0"/>
    </xf>
    <xf numFmtId="0" fontId="3" fillId="0" borderId="38" xfId="0" applyFont="1" applyBorder="1" applyAlignment="1" applyProtection="1">
      <alignment vertical="center" wrapText="1"/>
      <protection locked="0"/>
    </xf>
    <xf numFmtId="164" fontId="11" fillId="0" borderId="29" xfId="1" applyNumberFormat="1" applyFont="1" applyBorder="1" applyAlignment="1" applyProtection="1">
      <alignment horizontal="center" vertical="center"/>
      <protection locked="0"/>
    </xf>
    <xf numFmtId="9" fontId="11" fillId="0" borderId="38" xfId="0" applyNumberFormat="1" applyFont="1" applyBorder="1" applyAlignment="1" applyProtection="1">
      <alignment horizontal="center" vertical="center"/>
      <protection locked="0"/>
    </xf>
    <xf numFmtId="0" fontId="24" fillId="0" borderId="38" xfId="0" applyFont="1" applyBorder="1" applyAlignment="1" applyProtection="1">
      <alignment vertical="center" wrapText="1"/>
      <protection locked="0"/>
    </xf>
    <xf numFmtId="164" fontId="3" fillId="0" borderId="38" xfId="0" applyNumberFormat="1" applyFont="1" applyBorder="1" applyAlignment="1" applyProtection="1">
      <alignment horizontal="center" vertical="center" wrapText="1"/>
      <protection locked="0"/>
    </xf>
    <xf numFmtId="0" fontId="3" fillId="0" borderId="25" xfId="0" applyFont="1" applyBorder="1" applyAlignment="1" applyProtection="1">
      <alignment vertical="center" wrapText="1"/>
      <protection locked="0"/>
    </xf>
    <xf numFmtId="164" fontId="11" fillId="0" borderId="19" xfId="1" applyNumberFormat="1" applyFont="1" applyBorder="1" applyAlignment="1" applyProtection="1">
      <alignment horizontal="center" vertical="center"/>
      <protection locked="0"/>
    </xf>
    <xf numFmtId="9" fontId="11" fillId="0" borderId="25" xfId="0" applyNumberFormat="1" applyFont="1" applyBorder="1" applyAlignment="1" applyProtection="1">
      <alignment horizontal="center" vertical="center"/>
      <protection locked="0"/>
    </xf>
    <xf numFmtId="164" fontId="3" fillId="0" borderId="25" xfId="0" applyNumberFormat="1" applyFont="1" applyBorder="1" applyAlignment="1" applyProtection="1">
      <alignment horizontal="center" vertical="center" wrapText="1"/>
      <protection locked="0"/>
    </xf>
    <xf numFmtId="0" fontId="14" fillId="0" borderId="19" xfId="0" applyFont="1" applyBorder="1" applyAlignment="1" applyProtection="1">
      <alignment horizontal="justify" vertical="center" wrapText="1"/>
      <protection locked="0"/>
    </xf>
    <xf numFmtId="0" fontId="24" fillId="0" borderId="25" xfId="0" applyFont="1" applyBorder="1" applyAlignment="1" applyProtection="1">
      <alignment vertical="center" wrapText="1"/>
      <protection locked="0"/>
    </xf>
    <xf numFmtId="0" fontId="11" fillId="0" borderId="43" xfId="0" applyFont="1" applyBorder="1" applyAlignment="1" applyProtection="1">
      <alignment horizontal="center" vertical="center"/>
      <protection locked="0"/>
    </xf>
    <xf numFmtId="0" fontId="14" fillId="0" borderId="43" xfId="0" applyFont="1" applyBorder="1" applyAlignment="1" applyProtection="1">
      <alignment horizontal="justify" vertical="center" wrapText="1"/>
      <protection locked="0"/>
    </xf>
    <xf numFmtId="0" fontId="11" fillId="0" borderId="43" xfId="0" applyFont="1" applyBorder="1" applyAlignment="1" applyProtection="1">
      <alignment horizontal="center" vertical="center" wrapText="1"/>
      <protection locked="0"/>
    </xf>
    <xf numFmtId="0" fontId="3" fillId="0" borderId="43" xfId="0" applyFont="1" applyBorder="1" applyAlignment="1" applyProtection="1">
      <alignment vertical="center" wrapText="1"/>
      <protection locked="0"/>
    </xf>
    <xf numFmtId="164" fontId="11" fillId="0" borderId="43" xfId="1" applyNumberFormat="1" applyFont="1" applyBorder="1" applyAlignment="1" applyProtection="1">
      <alignment horizontal="center" vertical="center"/>
      <protection locked="0"/>
    </xf>
    <xf numFmtId="9" fontId="11" fillId="0" borderId="44" xfId="0" applyNumberFormat="1" applyFont="1" applyBorder="1" applyAlignment="1" applyProtection="1">
      <alignment horizontal="center" vertical="center"/>
      <protection locked="0"/>
    </xf>
    <xf numFmtId="0" fontId="24" fillId="0" borderId="45" xfId="0" applyFont="1" applyBorder="1" applyAlignment="1" applyProtection="1">
      <alignment vertical="center" wrapText="1"/>
      <protection locked="0"/>
    </xf>
    <xf numFmtId="164" fontId="3" fillId="0" borderId="46" xfId="0" applyNumberFormat="1" applyFont="1" applyBorder="1" applyAlignment="1" applyProtection="1">
      <alignment horizontal="center" vertical="center" wrapText="1"/>
      <protection locked="0"/>
    </xf>
    <xf numFmtId="14" fontId="11" fillId="0" borderId="43" xfId="0" applyNumberFormat="1" applyFont="1" applyBorder="1" applyAlignment="1" applyProtection="1">
      <alignment horizontal="center" vertical="center"/>
      <protection locked="0"/>
    </xf>
    <xf numFmtId="164" fontId="11" fillId="0" borderId="48" xfId="1" applyNumberFormat="1" applyFont="1" applyBorder="1" applyAlignment="1" applyProtection="1">
      <alignment horizontal="center" vertical="center"/>
      <protection locked="0"/>
    </xf>
    <xf numFmtId="9" fontId="11" fillId="0" borderId="49" xfId="0" applyNumberFormat="1" applyFont="1" applyBorder="1" applyAlignment="1" applyProtection="1">
      <alignment horizontal="center" vertical="center"/>
      <protection locked="0"/>
    </xf>
    <xf numFmtId="0" fontId="10" fillId="0" borderId="19" xfId="0" applyFont="1" applyBorder="1" applyAlignment="1" applyProtection="1">
      <alignment horizontal="justify" vertical="center" wrapText="1"/>
      <protection locked="0"/>
    </xf>
    <xf numFmtId="0" fontId="16" fillId="0" borderId="0" xfId="0" applyFont="1" applyAlignment="1" applyProtection="1">
      <alignment vertical="center"/>
      <protection locked="0"/>
    </xf>
    <xf numFmtId="0" fontId="12" fillId="0" borderId="19" xfId="0" applyFont="1" applyBorder="1" applyAlignment="1" applyProtection="1">
      <alignment horizontal="justify" vertical="center" wrapText="1"/>
      <protection locked="0"/>
    </xf>
    <xf numFmtId="0" fontId="10" fillId="0" borderId="43" xfId="0" applyFont="1" applyBorder="1" applyAlignment="1" applyProtection="1">
      <alignment horizontal="justify" vertical="center" wrapText="1"/>
      <protection locked="0"/>
    </xf>
    <xf numFmtId="0" fontId="0" fillId="0" borderId="0" xfId="0" applyFill="1" applyProtection="1">
      <protection locked="0"/>
    </xf>
    <xf numFmtId="0" fontId="17" fillId="0" borderId="0" xfId="0" applyFont="1" applyProtection="1">
      <protection locked="0"/>
    </xf>
    <xf numFmtId="0" fontId="0" fillId="0" borderId="0" xfId="0" applyAlignment="1" applyProtection="1">
      <alignment horizontal="center"/>
      <protection locked="0"/>
    </xf>
    <xf numFmtId="0" fontId="11" fillId="0" borderId="0" xfId="0" applyFont="1" applyProtection="1">
      <protection locked="0"/>
    </xf>
    <xf numFmtId="0" fontId="25" fillId="5" borderId="0" xfId="0" applyFont="1" applyFill="1" applyAlignment="1">
      <alignment horizontal="center" vertical="center" wrapText="1"/>
    </xf>
    <xf numFmtId="0" fontId="25"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5" fillId="6" borderId="0" xfId="0" applyFont="1" applyFill="1" applyAlignment="1">
      <alignment horizontal="center" vertical="center" wrapText="1"/>
    </xf>
    <xf numFmtId="0" fontId="21" fillId="6" borderId="0" xfId="0" applyFont="1" applyFill="1" applyAlignment="1">
      <alignment horizontal="center" vertical="center" wrapText="1"/>
    </xf>
    <xf numFmtId="0" fontId="21" fillId="0" borderId="0" xfId="0" applyFont="1"/>
    <xf numFmtId="0" fontId="21" fillId="2" borderId="50" xfId="0" applyFont="1" applyFill="1" applyBorder="1" applyProtection="1">
      <protection locked="0"/>
    </xf>
    <xf numFmtId="0" fontId="21" fillId="0" borderId="0" xfId="0" applyFont="1" applyProtection="1">
      <protection locked="0"/>
    </xf>
    <xf numFmtId="0" fontId="25" fillId="2" borderId="13"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protection locked="0"/>
    </xf>
    <xf numFmtId="0" fontId="21" fillId="0" borderId="0" xfId="0" applyFont="1" applyAlignment="1" applyProtection="1">
      <alignment vertical="center"/>
      <protection locked="0"/>
    </xf>
    <xf numFmtId="0" fontId="21" fillId="0" borderId="0" xfId="0" applyFont="1" applyAlignment="1">
      <alignment wrapText="1"/>
    </xf>
    <xf numFmtId="0" fontId="21" fillId="0" borderId="50" xfId="0" applyFont="1" applyBorder="1" applyAlignment="1">
      <alignment horizontal="center" vertical="center" wrapText="1"/>
    </xf>
    <xf numFmtId="0" fontId="21" fillId="5" borderId="0" xfId="0" applyFont="1" applyFill="1" applyAlignment="1">
      <alignment horizontal="center" vertical="center" wrapText="1"/>
    </xf>
    <xf numFmtId="0" fontId="21" fillId="5" borderId="0" xfId="0" applyFont="1" applyFill="1" applyAlignment="1">
      <alignment wrapText="1"/>
    </xf>
    <xf numFmtId="0" fontId="21" fillId="5" borderId="0" xfId="0" applyFont="1" applyFill="1"/>
    <xf numFmtId="0" fontId="21" fillId="0" borderId="50" xfId="0" applyFont="1" applyBorder="1" applyAlignment="1" applyProtection="1">
      <alignment wrapText="1"/>
      <protection locked="0"/>
    </xf>
    <xf numFmtId="9" fontId="21" fillId="0" borderId="0" xfId="1" applyFont="1"/>
    <xf numFmtId="0" fontId="21" fillId="2" borderId="13" xfId="0" applyFont="1" applyFill="1" applyBorder="1" applyProtection="1">
      <protection locked="0"/>
    </xf>
    <xf numFmtId="0" fontId="21" fillId="2" borderId="13" xfId="0" applyFont="1" applyFill="1" applyBorder="1" applyAlignment="1" applyProtection="1">
      <alignment horizontal="left"/>
      <protection locked="0"/>
    </xf>
    <xf numFmtId="0" fontId="21" fillId="5" borderId="0" xfId="0" applyFont="1" applyFill="1" applyAlignment="1">
      <alignment horizontal="center" vertical="center"/>
    </xf>
    <xf numFmtId="0" fontId="21" fillId="2" borderId="13" xfId="0" applyFont="1" applyFill="1" applyBorder="1" applyAlignment="1" applyProtection="1">
      <alignment wrapText="1"/>
      <protection locked="0"/>
    </xf>
    <xf numFmtId="14" fontId="21" fillId="0" borderId="50" xfId="0" applyNumberFormat="1" applyFont="1" applyBorder="1" applyAlignment="1" applyProtection="1">
      <alignment horizontal="center" vertical="center" wrapText="1"/>
      <protection locked="0"/>
    </xf>
    <xf numFmtId="14" fontId="21" fillId="0" borderId="0" xfId="0" applyNumberFormat="1" applyFont="1"/>
    <xf numFmtId="0" fontId="21" fillId="0" borderId="0" xfId="0" applyFont="1" applyFill="1"/>
    <xf numFmtId="0" fontId="21" fillId="0" borderId="50" xfId="0" applyFont="1" applyBorder="1" applyAlignment="1" applyProtection="1">
      <alignment horizontal="center" vertical="center" wrapText="1"/>
      <protection locked="0"/>
    </xf>
    <xf numFmtId="0" fontId="25" fillId="2" borderId="18" xfId="0" applyFont="1" applyFill="1" applyBorder="1" applyAlignment="1" applyProtection="1">
      <alignment horizontal="center" vertical="center" wrapText="1"/>
      <protection locked="0"/>
    </xf>
    <xf numFmtId="0" fontId="0" fillId="0" borderId="50" xfId="0" applyBorder="1" applyAlignment="1">
      <alignment vertical="center" wrapText="1"/>
    </xf>
    <xf numFmtId="0" fontId="0" fillId="0" borderId="50" xfId="0" applyBorder="1" applyAlignment="1">
      <alignment horizontal="center" vertical="center" wrapText="1"/>
    </xf>
    <xf numFmtId="9" fontId="0" fillId="0" borderId="50" xfId="1" applyFont="1" applyBorder="1" applyAlignment="1">
      <alignment horizontal="center" vertical="center" wrapText="1"/>
    </xf>
    <xf numFmtId="0" fontId="14" fillId="0" borderId="50" xfId="0" applyFont="1" applyBorder="1" applyAlignment="1" applyProtection="1">
      <alignment horizontal="justify" vertical="center" wrapText="1"/>
      <protection locked="0"/>
    </xf>
    <xf numFmtId="0" fontId="25" fillId="0" borderId="18" xfId="0" applyFont="1" applyFill="1" applyBorder="1" applyAlignment="1">
      <alignment horizontal="center" vertical="center" wrapText="1"/>
    </xf>
    <xf numFmtId="9" fontId="25" fillId="0" borderId="18" xfId="1" applyFont="1" applyBorder="1" applyAlignment="1">
      <alignment horizontal="center" vertical="center" wrapText="1"/>
    </xf>
    <xf numFmtId="14" fontId="25" fillId="0" borderId="18" xfId="0" applyNumberFormat="1" applyFont="1" applyFill="1" applyBorder="1" applyAlignment="1">
      <alignment horizontal="center" vertical="center" wrapText="1"/>
    </xf>
    <xf numFmtId="0" fontId="21" fillId="0" borderId="56" xfId="0" applyFont="1" applyFill="1" applyBorder="1" applyAlignment="1">
      <alignment vertical="center" wrapText="1"/>
    </xf>
    <xf numFmtId="14" fontId="21" fillId="0" borderId="56" xfId="0" applyNumberFormat="1" applyFont="1" applyFill="1" applyBorder="1" applyAlignment="1">
      <alignment vertical="center" wrapText="1"/>
    </xf>
    <xf numFmtId="14" fontId="21" fillId="0" borderId="56" xfId="0" applyNumberFormat="1" applyFont="1" applyFill="1" applyBorder="1" applyAlignment="1">
      <alignment horizontal="center" vertical="center" wrapText="1"/>
    </xf>
    <xf numFmtId="0" fontId="21" fillId="0" borderId="56" xfId="0" applyFont="1" applyBorder="1" applyAlignment="1" applyProtection="1">
      <alignment horizontal="justify" vertical="center" wrapText="1"/>
      <protection locked="0"/>
    </xf>
    <xf numFmtId="0" fontId="21" fillId="2" borderId="18" xfId="0" applyFont="1" applyFill="1" applyBorder="1" applyAlignment="1" applyProtection="1">
      <alignment horizontal="center" vertical="center" wrapText="1"/>
      <protection locked="0"/>
    </xf>
    <xf numFmtId="0" fontId="27" fillId="3" borderId="56" xfId="0" applyFont="1" applyFill="1" applyBorder="1" applyAlignment="1" applyProtection="1">
      <alignment horizontal="center" vertical="center" wrapText="1"/>
      <protection locked="0"/>
    </xf>
    <xf numFmtId="0" fontId="21" fillId="3" borderId="56" xfId="0" applyFont="1" applyFill="1" applyBorder="1" applyAlignment="1" applyProtection="1">
      <alignment horizontal="center" vertical="center" wrapText="1"/>
      <protection locked="0"/>
    </xf>
    <xf numFmtId="14" fontId="21" fillId="0" borderId="56" xfId="0" applyNumberFormat="1" applyFont="1" applyBorder="1" applyAlignment="1" applyProtection="1">
      <alignment horizontal="center" vertical="center"/>
      <protection locked="0"/>
    </xf>
    <xf numFmtId="0" fontId="21" fillId="0" borderId="56" xfId="0" applyFont="1" applyBorder="1" applyAlignment="1" applyProtection="1">
      <alignment wrapText="1"/>
      <protection locked="0"/>
    </xf>
    <xf numFmtId="0" fontId="21" fillId="0" borderId="13" xfId="0" applyFont="1" applyBorder="1" applyAlignment="1" applyProtection="1">
      <alignment horizontal="center" vertical="center"/>
      <protection locked="0"/>
    </xf>
    <xf numFmtId="0" fontId="21" fillId="3" borderId="13" xfId="0" applyFont="1" applyFill="1" applyBorder="1" applyAlignment="1" applyProtection="1">
      <alignment horizontal="center" vertical="center" wrapText="1"/>
      <protection locked="0"/>
    </xf>
    <xf numFmtId="0" fontId="21" fillId="0" borderId="19" xfId="0" applyFont="1" applyBorder="1" applyAlignment="1" applyProtection="1">
      <alignment horizontal="center" vertical="center"/>
      <protection locked="0"/>
    </xf>
    <xf numFmtId="0" fontId="21" fillId="0" borderId="15" xfId="0" applyFont="1" applyBorder="1" applyAlignment="1" applyProtection="1">
      <alignment horizontal="center" vertical="center" wrapText="1"/>
      <protection locked="0"/>
    </xf>
    <xf numFmtId="14" fontId="21" fillId="0" borderId="19" xfId="0" applyNumberFormat="1" applyFont="1" applyBorder="1" applyAlignment="1" applyProtection="1">
      <alignment horizontal="center" vertical="center"/>
      <protection locked="0"/>
    </xf>
    <xf numFmtId="0" fontId="21" fillId="0" borderId="19" xfId="0" applyFont="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21" fillId="0" borderId="58" xfId="0" applyFont="1" applyFill="1" applyBorder="1" applyAlignment="1">
      <alignment vertical="center" wrapText="1"/>
    </xf>
    <xf numFmtId="0" fontId="21" fillId="0" borderId="57" xfId="0" applyFont="1" applyFill="1" applyBorder="1" applyAlignment="1">
      <alignment vertical="center" wrapText="1"/>
    </xf>
    <xf numFmtId="0" fontId="21" fillId="0" borderId="18" xfId="0" applyFont="1" applyFill="1" applyBorder="1" applyAlignment="1">
      <alignment vertical="center" wrapText="1"/>
    </xf>
    <xf numFmtId="9" fontId="21" fillId="0" borderId="56" xfId="1" applyFont="1" applyFill="1" applyBorder="1" applyAlignment="1">
      <alignment horizontal="center" vertical="center" wrapText="1"/>
    </xf>
    <xf numFmtId="0" fontId="21" fillId="0" borderId="13" xfId="0" applyFont="1" applyFill="1" applyBorder="1" applyAlignment="1">
      <alignment vertical="center" wrapText="1"/>
    </xf>
    <xf numFmtId="9" fontId="21" fillId="0" borderId="13" xfId="1"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3" xfId="0" applyFont="1" applyFill="1" applyBorder="1" applyAlignment="1" applyProtection="1">
      <alignment horizontal="justify" vertical="center" wrapText="1"/>
      <protection locked="0"/>
    </xf>
    <xf numFmtId="0" fontId="21" fillId="0" borderId="56" xfId="0" applyFont="1" applyFill="1" applyBorder="1" applyAlignment="1" applyProtection="1">
      <alignment horizontal="justify" vertical="center" wrapText="1"/>
      <protection locked="0"/>
    </xf>
    <xf numFmtId="0" fontId="27" fillId="0" borderId="56" xfId="0" applyFont="1" applyFill="1" applyBorder="1" applyAlignment="1" applyProtection="1">
      <alignment horizontal="justify" vertical="center" wrapText="1"/>
      <protection locked="0"/>
    </xf>
    <xf numFmtId="0" fontId="27" fillId="0" borderId="13" xfId="0" applyFont="1" applyFill="1" applyBorder="1" applyAlignment="1" applyProtection="1">
      <alignment horizontal="justify" vertical="center" readingOrder="1"/>
      <protection locked="0"/>
    </xf>
    <xf numFmtId="0" fontId="27" fillId="0" borderId="13" xfId="0" applyFont="1" applyFill="1" applyBorder="1" applyAlignment="1" applyProtection="1">
      <alignment horizontal="justify" vertical="center" wrapText="1"/>
      <protection locked="0"/>
    </xf>
    <xf numFmtId="0" fontId="27" fillId="0" borderId="13" xfId="0" applyFont="1" applyFill="1" applyBorder="1" applyAlignment="1" applyProtection="1">
      <alignment horizontal="justify" vertical="center" wrapText="1" readingOrder="1"/>
      <protection locked="0"/>
    </xf>
    <xf numFmtId="0" fontId="21" fillId="0" borderId="50" xfId="0" applyFont="1" applyFill="1" applyBorder="1" applyAlignment="1">
      <alignment vertical="center"/>
    </xf>
    <xf numFmtId="0" fontId="27" fillId="0" borderId="50" xfId="0" applyFont="1" applyFill="1" applyBorder="1" applyAlignment="1" applyProtection="1">
      <alignment horizontal="justify" vertical="center" readingOrder="1"/>
      <protection locked="0"/>
    </xf>
    <xf numFmtId="0" fontId="27" fillId="0" borderId="50" xfId="0" applyFont="1" applyFill="1" applyBorder="1" applyAlignment="1" applyProtection="1">
      <alignment horizontal="justify" vertical="center" wrapText="1"/>
      <protection locked="0"/>
    </xf>
    <xf numFmtId="0" fontId="27" fillId="0" borderId="50" xfId="0" applyFont="1" applyFill="1" applyBorder="1" applyAlignment="1" applyProtection="1">
      <alignment horizontal="justify" vertical="center" wrapText="1" readingOrder="1"/>
      <protection locked="0"/>
    </xf>
    <xf numFmtId="0" fontId="21" fillId="0" borderId="50" xfId="0" applyFont="1" applyFill="1" applyBorder="1" applyAlignment="1">
      <alignment vertical="center" wrapText="1"/>
    </xf>
    <xf numFmtId="9" fontId="21" fillId="0" borderId="50" xfId="1" applyFont="1" applyFill="1" applyBorder="1" applyAlignment="1">
      <alignment horizontal="center" vertical="center" wrapText="1"/>
    </xf>
    <xf numFmtId="0" fontId="27" fillId="0" borderId="56" xfId="0" applyFont="1" applyFill="1" applyBorder="1" applyAlignment="1" applyProtection="1">
      <alignment horizontal="justify" vertical="center" wrapText="1" readingOrder="1"/>
      <protection locked="0"/>
    </xf>
    <xf numFmtId="0" fontId="27" fillId="0" borderId="26" xfId="0" applyFont="1" applyFill="1" applyBorder="1" applyAlignment="1" applyProtection="1">
      <alignment horizontal="justify" vertical="center" readingOrder="1"/>
      <protection locked="0"/>
    </xf>
    <xf numFmtId="0" fontId="21" fillId="0" borderId="29" xfId="0" applyFont="1" applyFill="1" applyBorder="1" applyAlignment="1" applyProtection="1">
      <alignment horizontal="center" vertical="center"/>
      <protection locked="0"/>
    </xf>
    <xf numFmtId="0" fontId="21" fillId="0" borderId="29" xfId="0" applyFont="1" applyFill="1" applyBorder="1" applyAlignment="1" applyProtection="1">
      <alignment horizontal="center" vertical="center" wrapText="1"/>
      <protection locked="0"/>
    </xf>
    <xf numFmtId="0" fontId="27" fillId="0" borderId="19" xfId="0" applyFont="1" applyFill="1" applyBorder="1" applyAlignment="1" applyProtection="1">
      <alignment horizontal="justify" vertical="center" wrapText="1"/>
      <protection locked="0"/>
    </xf>
    <xf numFmtId="0" fontId="21" fillId="0" borderId="19"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wrapText="1"/>
      <protection locked="0"/>
    </xf>
    <xf numFmtId="14" fontId="21" fillId="0" borderId="13" xfId="0" applyNumberFormat="1" applyFont="1" applyFill="1" applyBorder="1" applyAlignment="1">
      <alignment horizontal="center" vertical="center" wrapText="1"/>
    </xf>
    <xf numFmtId="14" fontId="21" fillId="0" borderId="19" xfId="0" applyNumberFormat="1" applyFont="1" applyFill="1" applyBorder="1" applyAlignment="1" applyProtection="1">
      <alignment horizontal="center" vertical="center"/>
      <protection locked="0"/>
    </xf>
    <xf numFmtId="14" fontId="21" fillId="0" borderId="50" xfId="0" applyNumberFormat="1" applyFont="1" applyFill="1" applyBorder="1" applyAlignment="1">
      <alignment horizontal="center" vertical="center"/>
    </xf>
    <xf numFmtId="14" fontId="21" fillId="0" borderId="50" xfId="0" applyNumberFormat="1" applyFont="1" applyFill="1" applyBorder="1" applyAlignment="1">
      <alignment horizontal="center" vertical="center" wrapText="1"/>
    </xf>
    <xf numFmtId="14" fontId="21" fillId="0" borderId="13" xfId="0" applyNumberFormat="1" applyFont="1" applyFill="1" applyBorder="1" applyAlignment="1">
      <alignment vertical="center" wrapText="1"/>
    </xf>
    <xf numFmtId="0" fontId="21" fillId="0" borderId="10" xfId="0" applyFont="1" applyFill="1" applyBorder="1" applyAlignment="1">
      <alignment vertical="center" wrapText="1"/>
    </xf>
    <xf numFmtId="14" fontId="21" fillId="0" borderId="0" xfId="0" applyNumberFormat="1" applyFont="1" applyFill="1"/>
    <xf numFmtId="0" fontId="9" fillId="0" borderId="13" xfId="0" applyFont="1" applyBorder="1" applyAlignment="1">
      <alignment horizontal="center" vertical="center" wrapText="1"/>
    </xf>
    <xf numFmtId="9" fontId="9" fillId="0" borderId="13" xfId="1" applyFont="1" applyBorder="1" applyAlignment="1">
      <alignment horizontal="center" vertical="center" wrapText="1"/>
    </xf>
    <xf numFmtId="0" fontId="21" fillId="0" borderId="13" xfId="0" applyFont="1" applyBorder="1" applyAlignment="1">
      <alignment horizontal="center" vertical="center" wrapText="1"/>
    </xf>
    <xf numFmtId="0" fontId="9" fillId="0" borderId="13" xfId="0" applyFont="1" applyBorder="1" applyAlignment="1">
      <alignment vertical="center" wrapText="1"/>
    </xf>
    <xf numFmtId="14" fontId="21" fillId="0" borderId="13" xfId="0" applyNumberFormat="1" applyFont="1" applyBorder="1" applyAlignment="1">
      <alignment horizontal="center" vertical="center" wrapText="1"/>
    </xf>
    <xf numFmtId="0" fontId="9" fillId="0" borderId="0" xfId="0" applyFont="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5" borderId="0" xfId="0" applyFont="1" applyFill="1" applyAlignment="1">
      <alignment wrapText="1"/>
    </xf>
    <xf numFmtId="0" fontId="9" fillId="0" borderId="0" xfId="0" applyFont="1" applyAlignment="1">
      <alignment wrapText="1"/>
    </xf>
    <xf numFmtId="0" fontId="32" fillId="6" borderId="0" xfId="0" applyFont="1" applyFill="1" applyAlignment="1">
      <alignment horizontal="center" vertical="center" wrapText="1"/>
    </xf>
    <xf numFmtId="9" fontId="9" fillId="0" borderId="13" xfId="1" applyFont="1" applyBorder="1" applyAlignment="1">
      <alignment horizontal="center" vertical="center" wrapText="1"/>
    </xf>
    <xf numFmtId="0" fontId="9"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50" xfId="0" applyFont="1" applyFill="1" applyBorder="1" applyAlignment="1">
      <alignment horizontal="center" vertical="center" wrapText="1"/>
    </xf>
    <xf numFmtId="0" fontId="25" fillId="0" borderId="18" xfId="0" applyFont="1" applyBorder="1" applyAlignment="1">
      <alignment horizontal="center" vertical="center" wrapText="1"/>
    </xf>
    <xf numFmtId="0" fontId="21" fillId="0" borderId="56" xfId="0" applyFont="1" applyFill="1" applyBorder="1" applyAlignment="1" applyProtection="1">
      <alignment horizontal="center" vertical="center" wrapText="1"/>
      <protection locked="0"/>
    </xf>
    <xf numFmtId="0" fontId="21" fillId="0" borderId="56" xfId="0" applyFont="1" applyFill="1" applyBorder="1" applyAlignment="1">
      <alignment horizontal="center" vertical="center" wrapText="1"/>
    </xf>
    <xf numFmtId="9" fontId="21" fillId="0" borderId="56" xfId="1" applyFont="1" applyBorder="1" applyAlignment="1">
      <alignment horizontal="center" vertical="center" wrapText="1"/>
    </xf>
    <xf numFmtId="0" fontId="21" fillId="0" borderId="13" xfId="0" applyFont="1" applyFill="1" applyBorder="1" applyAlignment="1">
      <alignment horizontal="center" vertical="center" wrapText="1"/>
    </xf>
    <xf numFmtId="0" fontId="21" fillId="0" borderId="50" xfId="0" applyFont="1" applyFill="1" applyBorder="1" applyAlignment="1">
      <alignment horizontal="center" vertical="center"/>
    </xf>
    <xf numFmtId="0" fontId="21" fillId="0" borderId="13" xfId="0" applyFont="1" applyFill="1" applyBorder="1" applyAlignment="1" applyProtection="1">
      <alignment horizontal="center" vertical="center" wrapText="1"/>
      <protection locked="0"/>
    </xf>
    <xf numFmtId="0" fontId="21" fillId="0" borderId="22" xfId="0" applyFont="1" applyFill="1" applyBorder="1" applyAlignment="1" applyProtection="1">
      <alignment horizontal="center" vertical="center" wrapText="1"/>
      <protection locked="0"/>
    </xf>
    <xf numFmtId="9" fontId="21" fillId="0" borderId="13" xfId="1" applyFont="1" applyBorder="1" applyAlignment="1">
      <alignment horizontal="center" vertical="center" wrapText="1"/>
    </xf>
    <xf numFmtId="0" fontId="21" fillId="0" borderId="50" xfId="0" applyFont="1" applyBorder="1" applyAlignment="1">
      <alignment horizontal="center" vertical="center" wrapText="1"/>
    </xf>
    <xf numFmtId="0" fontId="25" fillId="0" borderId="13"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xf numFmtId="0" fontId="21" fillId="0" borderId="56" xfId="0" applyFont="1" applyBorder="1" applyAlignment="1" applyProtection="1">
      <alignment horizontal="center" vertical="center" wrapText="1"/>
      <protection locked="0"/>
    </xf>
    <xf numFmtId="0" fontId="21" fillId="0" borderId="56" xfId="0" applyFont="1" applyBorder="1" applyAlignment="1" applyProtection="1">
      <alignment horizontal="center" vertical="center"/>
      <protection locked="0"/>
    </xf>
    <xf numFmtId="0" fontId="21" fillId="0" borderId="50"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21" fillId="0" borderId="50" xfId="0" applyFont="1" applyFill="1" applyBorder="1" applyAlignment="1" applyProtection="1">
      <alignment horizontal="center" vertical="center" wrapText="1"/>
      <protection locked="0"/>
    </xf>
    <xf numFmtId="0" fontId="29" fillId="0" borderId="13" xfId="0" applyFont="1" applyBorder="1" applyAlignment="1">
      <alignment horizontal="center" vertical="center" wrapText="1"/>
    </xf>
    <xf numFmtId="0" fontId="9" fillId="0" borderId="13" xfId="0" applyFont="1" applyBorder="1" applyAlignment="1">
      <alignment horizontal="center" vertical="center" wrapText="1"/>
    </xf>
    <xf numFmtId="9" fontId="9" fillId="0" borderId="13" xfId="1" applyFont="1" applyBorder="1" applyAlignment="1">
      <alignment horizontal="center" vertical="center" wrapText="1"/>
    </xf>
    <xf numFmtId="0" fontId="21" fillId="0" borderId="50" xfId="0" applyFont="1" applyFill="1" applyBorder="1" applyAlignment="1">
      <alignment horizontal="center" vertical="center" wrapText="1"/>
    </xf>
    <xf numFmtId="0" fontId="27" fillId="0" borderId="50" xfId="0" applyFont="1" applyFill="1" applyBorder="1" applyAlignment="1" applyProtection="1">
      <alignment horizontal="center" vertical="center" wrapText="1"/>
      <protection locked="0"/>
    </xf>
    <xf numFmtId="9" fontId="9" fillId="0" borderId="18" xfId="1" applyFont="1" applyBorder="1" applyAlignment="1">
      <alignment horizontal="center" vertical="center" wrapText="1"/>
    </xf>
    <xf numFmtId="9" fontId="9" fillId="0" borderId="27" xfId="1" applyFont="1" applyBorder="1" applyAlignment="1">
      <alignment horizontal="center" vertical="center" wrapText="1"/>
    </xf>
    <xf numFmtId="9" fontId="9" fillId="0" borderId="22" xfId="1" applyFont="1" applyBorder="1" applyAlignment="1">
      <alignment horizontal="center" vertical="center" wrapText="1"/>
    </xf>
    <xf numFmtId="0" fontId="21" fillId="0" borderId="18"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18" xfId="0" applyFont="1" applyFill="1" applyBorder="1" applyAlignment="1" applyProtection="1">
      <alignment horizontal="center" vertical="center"/>
      <protection locked="0"/>
    </xf>
    <xf numFmtId="0" fontId="21" fillId="0" borderId="27" xfId="0" applyFont="1" applyFill="1" applyBorder="1" applyAlignment="1" applyProtection="1">
      <alignment horizontal="center" vertical="center"/>
      <protection locked="0"/>
    </xf>
    <xf numFmtId="0" fontId="21" fillId="0" borderId="22" xfId="0" applyFont="1" applyFill="1" applyBorder="1" applyAlignment="1" applyProtection="1">
      <alignment horizontal="center" vertical="center"/>
      <protection locked="0"/>
    </xf>
    <xf numFmtId="0" fontId="21" fillId="0" borderId="60"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18" xfId="0" applyFont="1" applyFill="1" applyBorder="1" applyAlignment="1" applyProtection="1">
      <alignment horizontal="center" vertical="center" wrapText="1"/>
      <protection locked="0"/>
    </xf>
    <xf numFmtId="0" fontId="21" fillId="0" borderId="27" xfId="0" applyFont="1" applyFill="1" applyBorder="1" applyAlignment="1" applyProtection="1">
      <alignment horizontal="center" vertical="center" wrapText="1"/>
      <protection locked="0"/>
    </xf>
    <xf numFmtId="0" fontId="21" fillId="0" borderId="22" xfId="0" applyFont="1" applyFill="1" applyBorder="1" applyAlignment="1" applyProtection="1">
      <alignment horizontal="center" vertical="center" wrapText="1"/>
      <protection locked="0"/>
    </xf>
    <xf numFmtId="0" fontId="0" fillId="0" borderId="50" xfId="0" applyBorder="1" applyAlignment="1">
      <alignment horizontal="center" vertical="center"/>
    </xf>
    <xf numFmtId="0" fontId="0" fillId="0" borderId="50" xfId="0" applyBorder="1" applyAlignment="1">
      <alignment horizontal="center" vertical="center" wrapText="1"/>
    </xf>
    <xf numFmtId="0" fontId="16" fillId="0" borderId="50" xfId="0" applyFont="1" applyBorder="1" applyAlignment="1">
      <alignment horizontal="center" vertical="center" wrapText="1"/>
    </xf>
    <xf numFmtId="0" fontId="27" fillId="0" borderId="13" xfId="0" applyFont="1" applyBorder="1" applyAlignment="1">
      <alignment horizontal="center" vertical="center" wrapText="1"/>
    </xf>
    <xf numFmtId="0" fontId="21" fillId="0" borderId="13" xfId="0" applyFont="1" applyBorder="1" applyAlignment="1">
      <alignment horizontal="center" vertical="center" wrapText="1"/>
    </xf>
    <xf numFmtId="9" fontId="21" fillId="0" borderId="13" xfId="1" applyFont="1" applyBorder="1" applyAlignment="1">
      <alignment horizontal="center" vertical="center" wrapText="1"/>
    </xf>
    <xf numFmtId="9" fontId="21" fillId="0" borderId="18" xfId="1" applyFont="1" applyBorder="1" applyAlignment="1">
      <alignment horizontal="center" vertical="center" wrapText="1"/>
    </xf>
    <xf numFmtId="9" fontId="21" fillId="0" borderId="27" xfId="1" applyFont="1" applyBorder="1" applyAlignment="1">
      <alignment horizontal="center" vertical="center" wrapText="1"/>
    </xf>
    <xf numFmtId="9" fontId="21" fillId="0" borderId="22" xfId="1" applyFont="1" applyBorder="1" applyAlignment="1">
      <alignment horizontal="center" vertical="center" wrapText="1"/>
    </xf>
    <xf numFmtId="0" fontId="21" fillId="0" borderId="50" xfId="0" applyFont="1" applyBorder="1" applyAlignment="1">
      <alignment horizontal="center" vertical="center" wrapText="1"/>
    </xf>
    <xf numFmtId="0" fontId="25" fillId="2" borderId="13"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wrapText="1"/>
      <protection locked="0"/>
    </xf>
    <xf numFmtId="0" fontId="23" fillId="0" borderId="50"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protection locked="0"/>
    </xf>
    <xf numFmtId="0" fontId="21" fillId="0" borderId="56" xfId="0" applyFont="1" applyBorder="1" applyAlignment="1" applyProtection="1">
      <alignment horizontal="center" vertical="center" wrapText="1"/>
      <protection locked="0"/>
    </xf>
    <xf numFmtId="9" fontId="21" fillId="0" borderId="56" xfId="0" applyNumberFormat="1" applyFont="1" applyBorder="1" applyAlignment="1" applyProtection="1">
      <alignment horizontal="center" vertical="center" wrapText="1"/>
      <protection locked="0"/>
    </xf>
    <xf numFmtId="0" fontId="25" fillId="0" borderId="56" xfId="0" applyFont="1" applyBorder="1" applyAlignment="1" applyProtection="1">
      <alignment horizontal="center" vertical="center" wrapText="1"/>
      <protection locked="0"/>
    </xf>
    <xf numFmtId="9" fontId="26" fillId="0" borderId="56" xfId="0" applyNumberFormat="1" applyFont="1" applyFill="1" applyBorder="1" applyAlignment="1" applyProtection="1">
      <alignment horizontal="center" vertical="center" wrapText="1"/>
      <protection locked="0"/>
    </xf>
    <xf numFmtId="0" fontId="26" fillId="0" borderId="56"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9" fontId="25" fillId="0" borderId="13" xfId="1" applyFont="1" applyFill="1" applyBorder="1" applyAlignment="1" applyProtection="1">
      <alignment horizontal="center" vertical="center" wrapText="1"/>
      <protection locked="0"/>
    </xf>
    <xf numFmtId="9" fontId="26" fillId="0" borderId="13" xfId="0" applyNumberFormat="1" applyFont="1" applyFill="1" applyBorder="1" applyAlignment="1" applyProtection="1">
      <alignment horizontal="center" vertical="center" wrapText="1"/>
      <protection locked="0"/>
    </xf>
    <xf numFmtId="0" fontId="26" fillId="0" borderId="13" xfId="0" applyFont="1" applyFill="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9" fontId="26" fillId="0" borderId="56" xfId="1"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protection locked="0"/>
    </xf>
    <xf numFmtId="9" fontId="21" fillId="0" borderId="13" xfId="0" applyNumberFormat="1" applyFont="1" applyBorder="1" applyAlignment="1" applyProtection="1">
      <alignment horizontal="center" vertical="center" wrapText="1"/>
      <protection locked="0"/>
    </xf>
    <xf numFmtId="9" fontId="25" fillId="0" borderId="56" xfId="1" applyFont="1" applyFill="1" applyBorder="1" applyAlignment="1" applyProtection="1">
      <alignment horizontal="center" vertical="center" wrapText="1"/>
      <protection locked="0"/>
    </xf>
    <xf numFmtId="0" fontId="25" fillId="3" borderId="56" xfId="0" applyFont="1" applyFill="1" applyBorder="1" applyAlignment="1" applyProtection="1">
      <alignment horizontal="center" vertical="center" wrapText="1"/>
      <protection locked="0"/>
    </xf>
    <xf numFmtId="0" fontId="21" fillId="0" borderId="56" xfId="0" applyFont="1" applyBorder="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9" fontId="26" fillId="0" borderId="13" xfId="1" applyFont="1" applyFill="1" applyBorder="1" applyAlignment="1" applyProtection="1">
      <alignment horizontal="center" vertical="center" wrapText="1"/>
      <protection locked="0"/>
    </xf>
    <xf numFmtId="0" fontId="25" fillId="3" borderId="13" xfId="0" applyFont="1" applyFill="1" applyBorder="1" applyAlignment="1" applyProtection="1">
      <alignment horizontal="center" vertical="center" wrapText="1"/>
      <protection locked="0"/>
    </xf>
    <xf numFmtId="0" fontId="21" fillId="0" borderId="56" xfId="0" applyFont="1" applyBorder="1" applyAlignment="1" applyProtection="1">
      <alignment horizontal="center" vertical="center" textRotation="90"/>
      <protection locked="0"/>
    </xf>
    <xf numFmtId="0" fontId="21" fillId="0" borderId="13" xfId="0" applyFont="1" applyBorder="1" applyAlignment="1" applyProtection="1">
      <alignment horizontal="center" vertical="center" textRotation="90"/>
      <protection locked="0"/>
    </xf>
    <xf numFmtId="0" fontId="21" fillId="0" borderId="59" xfId="0" applyFont="1" applyBorder="1" applyAlignment="1" applyProtection="1">
      <alignment horizontal="center" vertical="center" wrapText="1"/>
      <protection locked="0"/>
    </xf>
    <xf numFmtId="0" fontId="21" fillId="0" borderId="56" xfId="0" applyFont="1" applyBorder="1" applyAlignment="1" applyProtection="1">
      <alignment horizontal="left" vertical="center" wrapText="1"/>
      <protection locked="0"/>
    </xf>
    <xf numFmtId="0" fontId="25" fillId="2" borderId="19"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1" fillId="2" borderId="13"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textRotation="90" wrapText="1"/>
      <protection locked="0"/>
    </xf>
    <xf numFmtId="0" fontId="25" fillId="2" borderId="18" xfId="0" applyFont="1" applyFill="1" applyBorder="1" applyAlignment="1" applyProtection="1">
      <alignment horizontal="center" vertical="center" textRotation="90" wrapText="1"/>
      <protection locked="0"/>
    </xf>
    <xf numFmtId="0" fontId="25" fillId="2" borderId="18" xfId="0" applyFont="1" applyFill="1" applyBorder="1" applyAlignment="1" applyProtection="1">
      <alignment horizontal="center" vertical="center"/>
      <protection locked="0"/>
    </xf>
    <xf numFmtId="0" fontId="25" fillId="2" borderId="27" xfId="0" applyFont="1" applyFill="1" applyBorder="1" applyAlignment="1" applyProtection="1">
      <alignment horizontal="center" vertical="center" textRotation="90" wrapText="1"/>
      <protection locked="0"/>
    </xf>
    <xf numFmtId="0" fontId="25" fillId="2" borderId="36" xfId="0" applyFont="1" applyFill="1" applyBorder="1" applyAlignment="1" applyProtection="1">
      <alignment horizontal="center" vertical="center" wrapText="1"/>
      <protection locked="0"/>
    </xf>
    <xf numFmtId="0" fontId="25" fillId="2" borderId="21" xfId="0" applyFont="1" applyFill="1" applyBorder="1" applyAlignment="1" applyProtection="1">
      <alignment horizontal="center" vertical="center" wrapText="1"/>
      <protection locked="0"/>
    </xf>
    <xf numFmtId="0" fontId="25" fillId="2" borderId="15" xfId="0" applyFont="1" applyFill="1" applyBorder="1" applyAlignment="1" applyProtection="1">
      <alignment horizontal="center" vertical="center" wrapText="1"/>
      <protection locked="0"/>
    </xf>
    <xf numFmtId="0" fontId="25" fillId="2" borderId="52" xfId="0" applyFont="1" applyFill="1" applyBorder="1" applyAlignment="1" applyProtection="1">
      <alignment horizontal="center" vertical="center" wrapText="1"/>
      <protection locked="0"/>
    </xf>
    <xf numFmtId="0" fontId="21" fillId="0" borderId="60"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60"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25" fillId="2" borderId="30" xfId="0" applyFont="1" applyFill="1" applyBorder="1" applyAlignment="1" applyProtection="1">
      <alignment horizontal="center" vertical="center" wrapText="1"/>
      <protection locked="0"/>
    </xf>
    <xf numFmtId="0" fontId="25" fillId="2" borderId="30"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textRotation="90"/>
      <protection locked="0"/>
    </xf>
    <xf numFmtId="0" fontId="25" fillId="2" borderId="18" xfId="0" applyFont="1" applyFill="1" applyBorder="1" applyAlignment="1" applyProtection="1">
      <alignment horizontal="center" vertical="center" textRotation="90"/>
      <protection locked="0"/>
    </xf>
    <xf numFmtId="0" fontId="25" fillId="2" borderId="27"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1" fillId="0" borderId="2" xfId="0" applyFont="1" applyBorder="1" applyAlignment="1" applyProtection="1">
      <alignment horizontal="center" wrapText="1"/>
      <protection locked="0"/>
    </xf>
    <xf numFmtId="0" fontId="21" fillId="0" borderId="5" xfId="0" applyFont="1" applyBorder="1" applyAlignment="1" applyProtection="1">
      <alignment horizontal="center" wrapText="1"/>
      <protection locked="0"/>
    </xf>
    <xf numFmtId="0" fontId="11" fillId="0" borderId="38" xfId="0" applyFont="1" applyBorder="1" applyAlignment="1" applyProtection="1">
      <alignment horizontal="center" vertical="center" textRotation="90"/>
      <protection locked="0"/>
    </xf>
    <xf numFmtId="0" fontId="11" fillId="0" borderId="20" xfId="0" applyFont="1" applyBorder="1" applyAlignment="1" applyProtection="1">
      <alignment horizontal="center" vertical="center" textRotation="90"/>
      <protection locked="0"/>
    </xf>
    <xf numFmtId="0" fontId="11" fillId="0" borderId="42" xfId="0" applyFont="1" applyBorder="1" applyAlignment="1" applyProtection="1">
      <alignment horizontal="center" vertical="center" textRotation="90"/>
      <protection locked="0"/>
    </xf>
    <xf numFmtId="0" fontId="11" fillId="0" borderId="38"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164" fontId="11" fillId="0" borderId="38" xfId="1" applyNumberFormat="1" applyFont="1" applyBorder="1" applyAlignment="1" applyProtection="1">
      <alignment horizontal="center" vertical="center"/>
      <protection locked="0"/>
    </xf>
    <xf numFmtId="164" fontId="11" fillId="0" borderId="20" xfId="1" applyNumberFormat="1" applyFont="1" applyBorder="1" applyAlignment="1" applyProtection="1">
      <alignment horizontal="center" vertical="center"/>
      <protection locked="0"/>
    </xf>
    <xf numFmtId="164" fontId="11" fillId="0" borderId="42" xfId="1" applyNumberFormat="1"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9" fontId="12" fillId="0" borderId="38" xfId="0" applyNumberFormat="1" applyFont="1" applyBorder="1" applyAlignment="1" applyProtection="1">
      <alignment horizontal="center" vertical="center" wrapText="1"/>
      <protection locked="0"/>
    </xf>
    <xf numFmtId="9" fontId="12" fillId="0" borderId="20" xfId="0" applyNumberFormat="1" applyFont="1" applyBorder="1" applyAlignment="1" applyProtection="1">
      <alignment horizontal="center" vertical="center" wrapText="1"/>
      <protection locked="0"/>
    </xf>
    <xf numFmtId="9" fontId="12" fillId="0" borderId="42" xfId="0" applyNumberFormat="1" applyFont="1" applyBorder="1" applyAlignment="1" applyProtection="1">
      <alignment horizontal="center" vertical="center" wrapText="1"/>
      <protection locked="0"/>
    </xf>
    <xf numFmtId="0" fontId="11" fillId="0" borderId="37"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23" fillId="0" borderId="20"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wrapText="1"/>
      <protection locked="0"/>
    </xf>
    <xf numFmtId="0" fontId="23" fillId="0" borderId="20" xfId="0" applyFont="1" applyFill="1" applyBorder="1" applyAlignment="1" applyProtection="1">
      <alignment horizontal="center" vertical="center" wrapText="1"/>
      <protection locked="0"/>
    </xf>
    <xf numFmtId="0" fontId="23" fillId="0" borderId="42" xfId="0" applyFont="1" applyFill="1" applyBorder="1" applyAlignment="1" applyProtection="1">
      <alignment horizontal="center" vertical="center" wrapText="1"/>
      <protection locked="0"/>
    </xf>
    <xf numFmtId="9" fontId="11" fillId="0" borderId="38" xfId="1" applyFont="1" applyBorder="1" applyAlignment="1" applyProtection="1">
      <alignment horizontal="center" vertical="center"/>
      <protection locked="0"/>
    </xf>
    <xf numFmtId="9" fontId="11" fillId="0" borderId="20" xfId="1" applyFont="1" applyBorder="1" applyAlignment="1" applyProtection="1">
      <alignment horizontal="center" vertical="center"/>
      <protection locked="0"/>
    </xf>
    <xf numFmtId="9" fontId="11" fillId="0" borderId="42" xfId="1" applyFont="1" applyBorder="1" applyAlignment="1" applyProtection="1">
      <alignment horizontal="center" vertical="center"/>
      <protection locked="0"/>
    </xf>
    <xf numFmtId="0" fontId="3" fillId="2" borderId="21"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textRotation="90"/>
      <protection locked="0"/>
    </xf>
    <xf numFmtId="0" fontId="6" fillId="2" borderId="20" xfId="0" applyFont="1" applyFill="1" applyBorder="1" applyAlignment="1" applyProtection="1">
      <alignment horizontal="center" vertical="center" textRotation="90"/>
      <protection locked="0"/>
    </xf>
    <xf numFmtId="0" fontId="3" fillId="2" borderId="25"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textRotation="90" wrapText="1"/>
      <protection locked="0"/>
    </xf>
    <xf numFmtId="0" fontId="3" fillId="2" borderId="25" xfId="0" applyFont="1" applyFill="1" applyBorder="1" applyAlignment="1" applyProtection="1">
      <alignment horizontal="center" vertical="center" textRotation="90" wrapText="1"/>
      <protection locked="0"/>
    </xf>
    <xf numFmtId="0" fontId="3" fillId="2" borderId="20" xfId="0" applyFont="1" applyFill="1" applyBorder="1" applyAlignment="1" applyProtection="1">
      <alignment horizontal="center" vertical="center" textRotation="90" wrapText="1"/>
      <protection locked="0"/>
    </xf>
    <xf numFmtId="0" fontId="17" fillId="2" borderId="19"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21" fillId="0" borderId="54"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 fillId="2" borderId="30"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21" fillId="0" borderId="50"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textRotation="90"/>
      <protection locked="0"/>
    </xf>
    <xf numFmtId="0" fontId="11" fillId="0" borderId="2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9" fontId="15" fillId="0" borderId="13" xfId="0" applyNumberFormat="1"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9" fontId="15" fillId="0" borderId="13" xfId="1" applyFont="1" applyFill="1" applyBorder="1" applyAlignment="1" applyProtection="1">
      <alignment horizontal="center" vertical="center" wrapText="1"/>
      <protection locked="0"/>
    </xf>
    <xf numFmtId="9" fontId="12" fillId="0" borderId="13" xfId="0" applyNumberFormat="1"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11" fillId="4" borderId="18" xfId="0" applyFont="1" applyFill="1" applyBorder="1" applyAlignment="1" applyProtection="1">
      <alignment horizontal="center" vertical="center" wrapText="1"/>
      <protection locked="0"/>
    </xf>
    <xf numFmtId="0" fontId="11" fillId="4" borderId="27" xfId="0" applyFont="1" applyFill="1" applyBorder="1" applyAlignment="1" applyProtection="1">
      <alignment horizontal="center" vertical="center" wrapText="1"/>
      <protection locked="0"/>
    </xf>
    <xf numFmtId="0" fontId="11" fillId="4" borderId="22"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9" fontId="15" fillId="0" borderId="22" xfId="0" applyNumberFormat="1"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4" borderId="13" xfId="0" applyFont="1" applyFill="1" applyBorder="1" applyAlignment="1" applyProtection="1">
      <alignment horizontal="center" vertical="center" wrapText="1"/>
      <protection locked="0"/>
    </xf>
    <xf numFmtId="0" fontId="11" fillId="0" borderId="22" xfId="0" applyFont="1" applyBorder="1" applyAlignment="1" applyProtection="1">
      <alignment horizontal="center" vertical="center" textRotation="90"/>
      <protection locked="0"/>
    </xf>
    <xf numFmtId="0" fontId="5" fillId="3" borderId="22" xfId="0" applyFont="1" applyFill="1" applyBorder="1" applyAlignment="1" applyProtection="1">
      <alignment horizontal="center" vertical="center" wrapText="1"/>
      <protection locked="0"/>
    </xf>
    <xf numFmtId="9" fontId="5" fillId="0" borderId="13" xfId="1"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textRotation="90"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textRotation="90"/>
      <protection locked="0"/>
    </xf>
    <xf numFmtId="0" fontId="6" fillId="2" borderId="22" xfId="0" applyFont="1" applyFill="1" applyBorder="1" applyAlignment="1" applyProtection="1">
      <alignment horizontal="center" vertical="center" textRotation="90"/>
      <protection locked="0"/>
    </xf>
    <xf numFmtId="0" fontId="6" fillId="2" borderId="18" xfId="0" applyFont="1" applyFill="1" applyBorder="1" applyAlignment="1" applyProtection="1">
      <alignment horizontal="center" vertical="center" textRotation="90" wrapText="1"/>
      <protection locked="0"/>
    </xf>
    <xf numFmtId="0" fontId="6" fillId="2" borderId="22" xfId="0" applyFont="1" applyFill="1" applyBorder="1" applyAlignment="1" applyProtection="1">
      <alignment horizontal="center" vertical="center" textRotation="90" wrapText="1"/>
      <protection locked="0"/>
    </xf>
    <xf numFmtId="0" fontId="3" fillId="2" borderId="18"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21" fillId="0" borderId="50" xfId="0" applyFont="1" applyBorder="1" applyAlignment="1">
      <alignment horizontal="center" vertical="center"/>
    </xf>
    <xf numFmtId="14" fontId="21" fillId="0" borderId="50" xfId="0" applyNumberFormat="1" applyFont="1" applyBorder="1" applyAlignment="1">
      <alignment horizontal="center" vertical="center"/>
    </xf>
    <xf numFmtId="0" fontId="27" fillId="0" borderId="50" xfId="0" applyFont="1" applyBorder="1" applyAlignment="1" applyProtection="1">
      <alignment horizontal="justify" vertical="center" wrapText="1"/>
      <protection locked="0"/>
    </xf>
    <xf numFmtId="0" fontId="21" fillId="0" borderId="50" xfId="0" applyFont="1" applyBorder="1" applyAlignment="1">
      <alignment vertical="center"/>
    </xf>
    <xf numFmtId="0" fontId="21" fillId="0" borderId="50" xfId="0" applyFont="1" applyBorder="1" applyAlignment="1" applyProtection="1">
      <alignment horizontal="center" vertical="center"/>
      <protection locked="0"/>
    </xf>
    <xf numFmtId="0" fontId="27" fillId="0" borderId="50" xfId="0" applyFont="1" applyBorder="1" applyAlignment="1" applyProtection="1">
      <alignment horizontal="center" vertical="center" wrapText="1"/>
      <protection locked="0"/>
    </xf>
    <xf numFmtId="0" fontId="27" fillId="0" borderId="50" xfId="0" applyFont="1" applyBorder="1" applyAlignment="1" applyProtection="1">
      <alignment horizontal="justify" vertical="center" readingOrder="1"/>
      <protection locked="0"/>
    </xf>
    <xf numFmtId="0" fontId="3" fillId="2" borderId="42" xfId="0" applyFont="1" applyFill="1" applyBorder="1" applyAlignment="1" applyProtection="1">
      <alignment horizontal="center" vertical="center" wrapText="1"/>
      <protection locked="0"/>
    </xf>
    <xf numFmtId="0" fontId="0" fillId="0" borderId="57" xfId="0" applyBorder="1" applyAlignment="1">
      <alignment horizontal="center" vertical="center"/>
    </xf>
    <xf numFmtId="0" fontId="0" fillId="0" borderId="55" xfId="0" applyBorder="1" applyAlignment="1">
      <alignment horizontal="center" vertical="center"/>
    </xf>
    <xf numFmtId="0" fontId="23" fillId="0" borderId="38" xfId="0" applyFont="1" applyFill="1" applyBorder="1" applyAlignment="1" applyProtection="1">
      <alignment horizontal="center" vertical="center" wrapText="1"/>
      <protection locked="0"/>
    </xf>
    <xf numFmtId="0" fontId="23" fillId="0" borderId="50" xfId="0" applyFont="1" applyFill="1" applyBorder="1" applyAlignment="1" applyProtection="1">
      <alignment horizontal="center" vertical="center" wrapText="1"/>
      <protection locked="0"/>
    </xf>
    <xf numFmtId="0" fontId="11" fillId="0" borderId="50" xfId="0" applyFont="1" applyFill="1" applyBorder="1" applyAlignment="1" applyProtection="1">
      <alignment horizontal="center" vertical="center" wrapText="1"/>
      <protection locked="0"/>
    </xf>
    <xf numFmtId="0" fontId="9" fillId="0" borderId="0" xfId="0" applyFont="1"/>
    <xf numFmtId="0" fontId="9" fillId="5" borderId="0" xfId="0" applyFont="1" applyFill="1"/>
    <xf numFmtId="14" fontId="21" fillId="0" borderId="50" xfId="0" applyNumberFormat="1" applyFont="1" applyBorder="1" applyAlignment="1">
      <alignment horizontal="center" vertical="center" wrapText="1"/>
    </xf>
    <xf numFmtId="14" fontId="21" fillId="0" borderId="50" xfId="0" applyNumberFormat="1" applyFont="1" applyBorder="1" applyAlignment="1" applyProtection="1">
      <alignment horizontal="center" vertical="center"/>
      <protection locked="0"/>
    </xf>
    <xf numFmtId="0" fontId="21" fillId="0" borderId="50" xfId="0" applyFont="1"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14" fontId="21" fillId="0" borderId="73" xfId="0" applyNumberFormat="1" applyFont="1" applyBorder="1" applyAlignment="1" applyProtection="1">
      <alignment horizontal="center" vertical="center"/>
      <protection locked="0"/>
    </xf>
    <xf numFmtId="14" fontId="21" fillId="0" borderId="25" xfId="0" applyNumberFormat="1" applyFont="1" applyBorder="1" applyAlignment="1" applyProtection="1">
      <alignment horizontal="center" vertical="center"/>
      <protection locked="0"/>
    </xf>
    <xf numFmtId="0" fontId="21" fillId="0" borderId="0" xfId="0" applyFont="1" applyAlignment="1" applyProtection="1">
      <alignment wrapText="1"/>
      <protection locked="0"/>
    </xf>
    <xf numFmtId="0" fontId="21" fillId="0" borderId="25" xfId="0" applyFont="1" applyBorder="1" applyAlignment="1" applyProtection="1">
      <alignment horizontal="center" vertical="center"/>
      <protection locked="0"/>
    </xf>
    <xf numFmtId="0" fontId="21" fillId="0" borderId="74" xfId="0" applyFont="1" applyBorder="1" applyAlignment="1" applyProtection="1">
      <alignment horizontal="center" vertical="center"/>
      <protection locked="0"/>
    </xf>
    <xf numFmtId="14" fontId="21" fillId="0" borderId="75" xfId="0" applyNumberFormat="1" applyFont="1" applyBorder="1" applyAlignment="1" applyProtection="1">
      <alignment horizontal="center" vertical="center"/>
      <protection locked="0"/>
    </xf>
    <xf numFmtId="0" fontId="21" fillId="0" borderId="75" xfId="0" applyFont="1" applyBorder="1" applyAlignment="1" applyProtection="1">
      <alignment horizontal="center" vertical="center" wrapText="1"/>
      <protection locked="0"/>
    </xf>
    <xf numFmtId="0" fontId="21" fillId="0" borderId="76" xfId="0" applyFont="1" applyBorder="1" applyAlignment="1" applyProtection="1">
      <alignment horizontal="center" vertical="center"/>
      <protection locked="0"/>
    </xf>
    <xf numFmtId="0" fontId="21" fillId="0" borderId="73" xfId="0" applyFont="1" applyBorder="1" applyAlignment="1" applyProtection="1">
      <alignment horizontal="center" vertical="center"/>
      <protection locked="0"/>
    </xf>
    <xf numFmtId="14" fontId="21" fillId="0" borderId="77" xfId="0" applyNumberFormat="1" applyFont="1" applyBorder="1" applyAlignment="1" applyProtection="1">
      <alignment horizontal="center" vertical="center"/>
      <protection locked="0"/>
    </xf>
    <xf numFmtId="0" fontId="21" fillId="0" borderId="78"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protection locked="0"/>
    </xf>
    <xf numFmtId="14" fontId="21" fillId="0" borderId="23" xfId="0" applyNumberFormat="1" applyFont="1" applyBorder="1" applyAlignment="1" applyProtection="1">
      <alignment horizontal="center" vertical="center"/>
      <protection locked="0"/>
    </xf>
    <xf numFmtId="0" fontId="21" fillId="0" borderId="24"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protection locked="0"/>
    </xf>
    <xf numFmtId="0" fontId="21" fillId="0" borderId="80"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14" fontId="21" fillId="0" borderId="29" xfId="0" applyNumberFormat="1" applyFont="1" applyBorder="1" applyAlignment="1" applyProtection="1">
      <alignment horizontal="center" vertical="center"/>
      <protection locked="0"/>
    </xf>
    <xf numFmtId="0" fontId="21" fillId="0" borderId="26" xfId="0" applyFont="1" applyBorder="1" applyAlignment="1" applyProtection="1">
      <alignment wrapText="1"/>
      <protection locked="0"/>
    </xf>
    <xf numFmtId="0" fontId="21" fillId="0" borderId="29" xfId="0" applyFont="1" applyBorder="1" applyAlignment="1" applyProtection="1">
      <alignment horizontal="center" vertical="center"/>
      <protection locked="0"/>
    </xf>
    <xf numFmtId="0" fontId="21" fillId="0" borderId="39" xfId="0" applyFont="1" applyBorder="1" applyAlignment="1" applyProtection="1">
      <alignment horizontal="center" vertical="center" wrapText="1"/>
      <protection locked="0"/>
    </xf>
    <xf numFmtId="0" fontId="21" fillId="0" borderId="47" xfId="0" applyFont="1" applyBorder="1" applyAlignment="1" applyProtection="1">
      <alignment horizontal="center" vertical="center" wrapText="1"/>
      <protection locked="0"/>
    </xf>
    <xf numFmtId="0" fontId="21" fillId="0" borderId="82" xfId="0" applyFont="1" applyBorder="1" applyAlignment="1" applyProtection="1">
      <alignment horizontal="center" vertical="center" wrapText="1"/>
      <protection locked="0"/>
    </xf>
    <xf numFmtId="0" fontId="21" fillId="0" borderId="83" xfId="0" applyFont="1" applyBorder="1" applyAlignment="1" applyProtection="1">
      <alignment horizontal="center" vertical="center" wrapText="1"/>
      <protection locked="0"/>
    </xf>
    <xf numFmtId="0" fontId="21" fillId="0" borderId="84" xfId="0" applyFont="1" applyBorder="1" applyAlignment="1" applyProtection="1">
      <alignment horizontal="center" vertical="center" wrapText="1"/>
      <protection locked="0"/>
    </xf>
    <xf numFmtId="0" fontId="9" fillId="0" borderId="53" xfId="0" applyFont="1" applyBorder="1" applyAlignment="1">
      <alignment horizontal="center"/>
    </xf>
    <xf numFmtId="0" fontId="9" fillId="0" borderId="85" xfId="0" applyFont="1" applyBorder="1" applyAlignment="1">
      <alignment horizontal="center" wrapText="1"/>
    </xf>
    <xf numFmtId="0" fontId="0" fillId="0" borderId="50" xfId="0" applyFill="1" applyBorder="1" applyAlignment="1">
      <alignment horizontal="center" vertical="center" wrapText="1"/>
    </xf>
    <xf numFmtId="0" fontId="0" fillId="0" borderId="50" xfId="0" applyFill="1" applyBorder="1" applyAlignment="1">
      <alignment horizontal="center" vertical="center"/>
    </xf>
    <xf numFmtId="0" fontId="21" fillId="0" borderId="58"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65" xfId="0" applyFont="1" applyBorder="1" applyAlignment="1">
      <alignment horizontal="center" vertical="center" wrapText="1"/>
    </xf>
    <xf numFmtId="0" fontId="27" fillId="0" borderId="86"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87" xfId="0" applyFont="1" applyFill="1" applyBorder="1" applyAlignment="1" applyProtection="1">
      <alignment horizontal="center" vertical="center" wrapText="1"/>
      <protection locked="0"/>
    </xf>
    <xf numFmtId="0" fontId="21" fillId="0" borderId="58" xfId="0" applyFont="1" applyFill="1" applyBorder="1" applyAlignment="1" applyProtection="1">
      <alignment horizontal="center" vertical="center" wrapText="1"/>
      <protection locked="0"/>
    </xf>
    <xf numFmtId="0" fontId="21" fillId="0" borderId="55" xfId="0" applyFont="1" applyFill="1" applyBorder="1" applyAlignment="1" applyProtection="1">
      <alignment horizontal="center" vertical="center" wrapText="1"/>
      <protection locked="0"/>
    </xf>
    <xf numFmtId="0" fontId="21" fillId="0" borderId="88" xfId="0" applyFont="1" applyFill="1" applyBorder="1" applyAlignment="1" applyProtection="1">
      <alignment horizontal="center" vertical="center" wrapText="1"/>
      <protection locked="0"/>
    </xf>
    <xf numFmtId="0" fontId="21" fillId="0" borderId="72" xfId="0" applyFont="1" applyFill="1" applyBorder="1" applyAlignment="1" applyProtection="1">
      <alignment horizontal="center" vertical="center" wrapText="1"/>
      <protection locked="0"/>
    </xf>
    <xf numFmtId="0" fontId="21" fillId="0" borderId="58"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58"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86"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87" xfId="0" applyFont="1" applyFill="1" applyBorder="1" applyAlignment="1">
      <alignment horizontal="center" vertical="center" wrapText="1"/>
    </xf>
    <xf numFmtId="0" fontId="21" fillId="0" borderId="89" xfId="0" applyFont="1" applyFill="1" applyBorder="1" applyAlignment="1">
      <alignment horizontal="center" vertical="center" wrapText="1"/>
    </xf>
    <xf numFmtId="0" fontId="21" fillId="0" borderId="90" xfId="0" applyFont="1" applyFill="1" applyBorder="1" applyAlignment="1">
      <alignment horizontal="center" vertical="center" wrapText="1"/>
    </xf>
    <xf numFmtId="0" fontId="21" fillId="0" borderId="91" xfId="0" applyFont="1" applyFill="1" applyBorder="1" applyAlignment="1">
      <alignment horizontal="center" vertical="center" wrapText="1"/>
    </xf>
    <xf numFmtId="0" fontId="21" fillId="0" borderId="92" xfId="0" applyFont="1" applyFill="1" applyBorder="1" applyAlignment="1">
      <alignment horizontal="center" vertical="center" wrapText="1"/>
    </xf>
    <xf numFmtId="0" fontId="21" fillId="0" borderId="93" xfId="0" applyFont="1" applyFill="1" applyBorder="1" applyAlignment="1">
      <alignment horizontal="center" vertical="center" wrapText="1"/>
    </xf>
    <xf numFmtId="0" fontId="27" fillId="0" borderId="92" xfId="0" applyFont="1" applyFill="1" applyBorder="1" applyAlignment="1" applyProtection="1">
      <alignment horizontal="center" vertical="center" wrapText="1"/>
      <protection locked="0"/>
    </xf>
    <xf numFmtId="0" fontId="21" fillId="0" borderId="65" xfId="0" applyFont="1" applyFill="1" applyBorder="1" applyAlignment="1" applyProtection="1">
      <alignment horizontal="center" vertical="center" wrapText="1"/>
      <protection locked="0"/>
    </xf>
    <xf numFmtId="0" fontId="21" fillId="0" borderId="65" xfId="0" applyFont="1" applyFill="1" applyBorder="1" applyAlignment="1">
      <alignment horizontal="center" vertical="center" wrapText="1"/>
    </xf>
    <xf numFmtId="0" fontId="21" fillId="0" borderId="65"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94" xfId="0" applyFont="1" applyFill="1" applyBorder="1" applyAlignment="1">
      <alignment horizontal="center" vertical="center" wrapText="1"/>
    </xf>
    <xf numFmtId="0" fontId="27" fillId="0" borderId="3" xfId="0" applyFont="1" applyFill="1" applyBorder="1" applyAlignment="1" applyProtection="1">
      <alignment horizontal="center" vertical="center" wrapText="1"/>
      <protection locked="0"/>
    </xf>
    <xf numFmtId="0" fontId="27" fillId="0" borderId="95"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center" vertical="center" wrapText="1"/>
      <protection locked="0"/>
    </xf>
    <xf numFmtId="0" fontId="27" fillId="0" borderId="96" xfId="0" applyFont="1" applyFill="1" applyBorder="1" applyAlignment="1" applyProtection="1">
      <alignment horizontal="center" vertical="center" wrapText="1"/>
      <protection locked="0"/>
    </xf>
    <xf numFmtId="0" fontId="21" fillId="0" borderId="97" xfId="0" applyFont="1" applyFill="1" applyBorder="1" applyAlignment="1">
      <alignment horizontal="center" vertical="center" wrapText="1"/>
    </xf>
    <xf numFmtId="0" fontId="21" fillId="0" borderId="98" xfId="0" applyFont="1" applyFill="1" applyBorder="1" applyAlignment="1">
      <alignment horizontal="center" vertical="center" wrapText="1"/>
    </xf>
    <xf numFmtId="0" fontId="21" fillId="0" borderId="99" xfId="0" applyFont="1" applyFill="1" applyBorder="1" applyAlignment="1">
      <alignment horizontal="center" vertical="center" wrapText="1"/>
    </xf>
    <xf numFmtId="0" fontId="21" fillId="0" borderId="57"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57" xfId="0" applyFont="1" applyFill="1" applyBorder="1" applyAlignment="1">
      <alignment horizontal="center" vertical="center" wrapText="1"/>
    </xf>
    <xf numFmtId="0" fontId="21" fillId="0" borderId="100" xfId="0" applyFont="1" applyFill="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100" xfId="0" applyFont="1" applyBorder="1" applyAlignment="1">
      <alignment horizontal="center" vertical="center" wrapText="1"/>
    </xf>
    <xf numFmtId="9" fontId="21" fillId="0" borderId="60" xfId="1" applyFont="1" applyBorder="1" applyAlignment="1">
      <alignment horizontal="center" vertical="center" wrapText="1"/>
    </xf>
    <xf numFmtId="9" fontId="21" fillId="0" borderId="61" xfId="1" applyFont="1" applyBorder="1" applyAlignment="1">
      <alignment horizontal="center" vertical="center" wrapText="1"/>
    </xf>
    <xf numFmtId="9" fontId="21" fillId="0" borderId="100" xfId="1" applyFont="1" applyBorder="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100" xfId="0" applyFont="1" applyBorder="1" applyAlignment="1">
      <alignment horizontal="center" vertical="center" wrapText="1"/>
    </xf>
    <xf numFmtId="0" fontId="21" fillId="0" borderId="101" xfId="0" applyFont="1" applyFill="1" applyBorder="1" applyAlignment="1">
      <alignment horizontal="center" vertical="center" wrapText="1"/>
    </xf>
    <xf numFmtId="0" fontId="21" fillId="0" borderId="102" xfId="0" applyFont="1" applyFill="1" applyBorder="1" applyAlignment="1">
      <alignment horizontal="center" vertical="center" wrapText="1"/>
    </xf>
    <xf numFmtId="0" fontId="21" fillId="0" borderId="63"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103" xfId="0" applyFont="1" applyFill="1" applyBorder="1" applyAlignment="1">
      <alignment horizontal="center" vertical="center" wrapText="1"/>
    </xf>
    <xf numFmtId="9" fontId="21" fillId="0" borderId="63" xfId="1" applyFont="1" applyBorder="1" applyAlignment="1">
      <alignment horizontal="center" vertical="center" wrapText="1"/>
    </xf>
    <xf numFmtId="9" fontId="21" fillId="0" borderId="62" xfId="1" applyFont="1" applyBorder="1" applyAlignment="1">
      <alignment horizontal="center" vertical="center" wrapText="1"/>
    </xf>
    <xf numFmtId="0" fontId="27" fillId="0" borderId="63" xfId="0" applyFont="1" applyBorder="1" applyAlignment="1">
      <alignment horizontal="center" vertical="center" wrapText="1"/>
    </xf>
    <xf numFmtId="0" fontId="27" fillId="0" borderId="62" xfId="0" applyFont="1" applyBorder="1" applyAlignment="1">
      <alignment horizontal="center" vertical="center" wrapText="1"/>
    </xf>
    <xf numFmtId="0" fontId="21" fillId="0" borderId="58" xfId="0" applyFont="1" applyBorder="1" applyAlignment="1" applyProtection="1">
      <alignment horizontal="center" vertical="center" wrapText="1"/>
      <protection locked="0"/>
    </xf>
    <xf numFmtId="0" fontId="21" fillId="0" borderId="55" xfId="0" applyFont="1" applyBorder="1" applyAlignment="1" applyProtection="1">
      <alignment horizontal="center" vertical="center" wrapText="1"/>
      <protection locked="0"/>
    </xf>
    <xf numFmtId="0" fontId="21" fillId="0" borderId="65" xfId="0" applyFont="1" applyBorder="1" applyAlignment="1" applyProtection="1">
      <alignment horizontal="center" vertical="center" wrapText="1"/>
      <protection locked="0"/>
    </xf>
    <xf numFmtId="0" fontId="21" fillId="0" borderId="96" xfId="0" applyFont="1" applyFill="1" applyBorder="1" applyAlignment="1" applyProtection="1">
      <alignment horizontal="center" vertical="center" wrapText="1"/>
      <protection locked="0"/>
    </xf>
    <xf numFmtId="0" fontId="21" fillId="0" borderId="1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2" xfId="0" applyFont="1" applyBorder="1" applyAlignment="1">
      <alignment horizontal="center" vertical="center" wrapText="1"/>
    </xf>
    <xf numFmtId="0" fontId="27" fillId="0" borderId="58"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1" fillId="0" borderId="72"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92" xfId="0" applyFont="1" applyBorder="1" applyAlignment="1" applyProtection="1">
      <alignment horizontal="center" vertical="center"/>
      <protection locked="0"/>
    </xf>
    <xf numFmtId="0" fontId="21" fillId="0" borderId="94" xfId="0" applyFont="1" applyBorder="1" applyAlignment="1" applyProtection="1">
      <alignment horizontal="center" vertical="center" wrapText="1"/>
      <protection locked="0"/>
    </xf>
    <xf numFmtId="0" fontId="21" fillId="0" borderId="90" xfId="0" applyFont="1" applyBorder="1" applyAlignment="1" applyProtection="1">
      <alignment horizontal="center" vertical="center" wrapText="1"/>
      <protection locked="0"/>
    </xf>
    <xf numFmtId="0" fontId="21" fillId="0" borderId="93" xfId="0" applyFont="1" applyBorder="1" applyAlignment="1" applyProtection="1">
      <alignment horizontal="center" vertical="center" wrapText="1"/>
      <protection locked="0"/>
    </xf>
    <xf numFmtId="0" fontId="27" fillId="0" borderId="18"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2"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86"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21" fillId="0" borderId="92" xfId="0" applyFont="1" applyFill="1" applyBorder="1" applyAlignment="1" applyProtection="1">
      <alignment horizontal="center" vertical="center"/>
      <protection locked="0"/>
    </xf>
    <xf numFmtId="0" fontId="21" fillId="0" borderId="89" xfId="0" applyFont="1" applyFill="1" applyBorder="1" applyAlignment="1" applyProtection="1">
      <alignment horizontal="center" vertical="center" wrapText="1"/>
      <protection locked="0"/>
    </xf>
    <xf numFmtId="0" fontId="21" fillId="0" borderId="90" xfId="0" applyFont="1" applyFill="1" applyBorder="1" applyAlignment="1" applyProtection="1">
      <alignment horizontal="center" vertical="center" wrapText="1"/>
      <protection locked="0"/>
    </xf>
    <xf numFmtId="0" fontId="21" fillId="0" borderId="93" xfId="0" applyFont="1" applyFill="1" applyBorder="1" applyAlignment="1" applyProtection="1">
      <alignment horizontal="center" vertical="center" wrapText="1"/>
      <protection locked="0"/>
    </xf>
    <xf numFmtId="0" fontId="21" fillId="0" borderId="104" xfId="0" applyFont="1" applyBorder="1" applyAlignment="1">
      <alignment horizontal="center" vertical="center" wrapText="1"/>
    </xf>
    <xf numFmtId="0" fontId="21" fillId="0" borderId="105" xfId="0" applyFont="1" applyBorder="1" applyAlignment="1">
      <alignment horizontal="center" vertical="center" wrapText="1"/>
    </xf>
    <xf numFmtId="0" fontId="21" fillId="0" borderId="55" xfId="0" applyFont="1" applyBorder="1" applyAlignment="1">
      <alignment horizontal="center" vertical="center"/>
    </xf>
    <xf numFmtId="0" fontId="27" fillId="0" borderId="58"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locked="0"/>
    </xf>
    <xf numFmtId="0" fontId="27" fillId="0" borderId="65" xfId="0" applyFont="1" applyFill="1" applyBorder="1" applyAlignment="1" applyProtection="1">
      <alignment horizontal="center" vertical="center" wrapText="1"/>
      <protection locked="0"/>
    </xf>
    <xf numFmtId="0" fontId="21" fillId="0" borderId="86" xfId="0" applyFont="1" applyBorder="1" applyAlignment="1" applyProtection="1">
      <alignment horizontal="center" vertical="center"/>
      <protection locked="0"/>
    </xf>
    <xf numFmtId="0" fontId="21" fillId="0" borderId="89" xfId="0" applyFont="1" applyBorder="1" applyAlignment="1" applyProtection="1">
      <alignment horizontal="center" vertical="center" wrapText="1"/>
      <protection locked="0"/>
    </xf>
    <xf numFmtId="0" fontId="21" fillId="0" borderId="58" xfId="0" applyFont="1" applyBorder="1" applyAlignment="1">
      <alignment horizontal="center" vertical="center"/>
    </xf>
    <xf numFmtId="0" fontId="21" fillId="0" borderId="96" xfId="0" applyFont="1" applyFill="1" applyBorder="1" applyAlignment="1">
      <alignment horizontal="center" vertical="center" wrapText="1"/>
    </xf>
    <xf numFmtId="0" fontId="21" fillId="0" borderId="95" xfId="0" applyFont="1" applyFill="1" applyBorder="1" applyAlignment="1" applyProtection="1">
      <alignment horizontal="center" vertical="center"/>
      <protection locked="0"/>
    </xf>
    <xf numFmtId="0" fontId="21" fillId="0" borderId="95" xfId="0" applyFont="1" applyFill="1" applyBorder="1" applyAlignment="1">
      <alignment horizontal="center" vertical="center" wrapText="1"/>
    </xf>
    <xf numFmtId="0" fontId="21" fillId="0" borderId="91" xfId="0" applyFont="1" applyBorder="1" applyAlignment="1" applyProtection="1">
      <alignment horizontal="center" vertical="center" wrapText="1"/>
      <protection locked="0"/>
    </xf>
    <xf numFmtId="0" fontId="21" fillId="0" borderId="96" xfId="0" applyFont="1" applyFill="1" applyBorder="1" applyAlignment="1" applyProtection="1">
      <alignment horizontal="center" vertical="center"/>
      <protection locked="0"/>
    </xf>
    <xf numFmtId="9" fontId="21" fillId="0" borderId="109" xfId="1" applyFont="1" applyBorder="1" applyAlignment="1">
      <alignment horizontal="center" vertical="center" wrapText="1"/>
    </xf>
    <xf numFmtId="0" fontId="21" fillId="0" borderId="109" xfId="0" applyFont="1" applyBorder="1" applyAlignment="1">
      <alignment horizontal="center" vertical="center" wrapText="1"/>
    </xf>
    <xf numFmtId="0" fontId="27" fillId="0" borderId="109" xfId="0" applyFont="1" applyBorder="1" applyAlignment="1">
      <alignment horizontal="center" vertical="center" wrapText="1"/>
    </xf>
    <xf numFmtId="0" fontId="21" fillId="0" borderId="61" xfId="0" applyFont="1" applyFill="1" applyBorder="1" applyAlignment="1" applyProtection="1">
      <alignment horizontal="center" vertical="center" wrapText="1"/>
      <protection locked="0"/>
    </xf>
    <xf numFmtId="0" fontId="21" fillId="0" borderId="62" xfId="0" applyFont="1" applyFill="1" applyBorder="1" applyAlignment="1" applyProtection="1">
      <alignment horizontal="center" vertical="center" wrapText="1"/>
      <protection locked="0"/>
    </xf>
    <xf numFmtId="0" fontId="21" fillId="0" borderId="60" xfId="0" applyFont="1" applyFill="1" applyBorder="1" applyAlignment="1" applyProtection="1">
      <alignment horizontal="center" vertical="center" wrapText="1"/>
      <protection locked="0"/>
    </xf>
    <xf numFmtId="0" fontId="21" fillId="0" borderId="114" xfId="0" applyFont="1" applyFill="1" applyBorder="1" applyAlignment="1" applyProtection="1">
      <alignment horizontal="center" vertical="center" wrapText="1"/>
      <protection locked="0"/>
    </xf>
    <xf numFmtId="0" fontId="21" fillId="0" borderId="115" xfId="0" applyFont="1" applyFill="1" applyBorder="1" applyAlignment="1">
      <alignment horizontal="center" vertical="center" wrapText="1"/>
    </xf>
    <xf numFmtId="0" fontId="21" fillId="0" borderId="109" xfId="0" applyFont="1" applyFill="1" applyBorder="1" applyAlignment="1">
      <alignment horizontal="center" vertical="center" wrapText="1"/>
    </xf>
    <xf numFmtId="0" fontId="27" fillId="0" borderId="60" xfId="0" applyFont="1" applyFill="1" applyBorder="1" applyAlignment="1" applyProtection="1">
      <alignment horizontal="center" vertical="center" wrapText="1"/>
      <protection locked="0"/>
    </xf>
    <xf numFmtId="0" fontId="27" fillId="0" borderId="61" xfId="0" applyFont="1" applyFill="1" applyBorder="1" applyAlignment="1" applyProtection="1">
      <alignment horizontal="center" vertical="center" wrapText="1"/>
      <protection locked="0"/>
    </xf>
    <xf numFmtId="0" fontId="27" fillId="0" borderId="114" xfId="0" applyFont="1" applyFill="1" applyBorder="1" applyAlignment="1" applyProtection="1">
      <alignment horizontal="center" vertical="center" wrapText="1"/>
      <protection locked="0"/>
    </xf>
    <xf numFmtId="0" fontId="21" fillId="0" borderId="114" xfId="0" applyFont="1" applyFill="1" applyBorder="1" applyAlignment="1">
      <alignment horizontal="center" vertical="center" wrapText="1"/>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114" xfId="0" applyFont="1" applyFill="1" applyBorder="1" applyAlignment="1">
      <alignment horizontal="center" vertical="center"/>
    </xf>
    <xf numFmtId="0" fontId="21" fillId="0" borderId="62" xfId="0" applyFont="1" applyFill="1" applyBorder="1" applyAlignment="1">
      <alignment horizontal="center" vertical="center"/>
    </xf>
    <xf numFmtId="0" fontId="27" fillId="0" borderId="62" xfId="0" applyFont="1" applyFill="1" applyBorder="1" applyAlignment="1" applyProtection="1">
      <alignment horizontal="center" vertical="center" wrapText="1"/>
      <protection locked="0"/>
    </xf>
    <xf numFmtId="0" fontId="25" fillId="2" borderId="116"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64"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117" xfId="0" applyFont="1" applyFill="1" applyBorder="1" applyAlignment="1" applyProtection="1">
      <alignment horizontal="center" vertical="center" wrapText="1"/>
      <protection locked="0"/>
    </xf>
    <xf numFmtId="0" fontId="25" fillId="2" borderId="118" xfId="0" applyFont="1" applyFill="1" applyBorder="1" applyAlignment="1" applyProtection="1">
      <alignment horizontal="center" vertical="center" wrapText="1"/>
      <protection locked="0"/>
    </xf>
    <xf numFmtId="0" fontId="25" fillId="2" borderId="119" xfId="0" applyFont="1" applyFill="1" applyBorder="1" applyAlignment="1" applyProtection="1">
      <alignment horizontal="center" vertical="center" wrapText="1"/>
      <protection locked="0"/>
    </xf>
    <xf numFmtId="0" fontId="25" fillId="0" borderId="120"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122" xfId="0" applyFont="1" applyBorder="1" applyAlignment="1">
      <alignment horizontal="center" vertical="center" wrapText="1"/>
    </xf>
    <xf numFmtId="0" fontId="25" fillId="2" borderId="10" xfId="0" applyFont="1" applyFill="1" applyBorder="1" applyAlignment="1" applyProtection="1">
      <alignment horizontal="center" vertical="center"/>
      <protection locked="0"/>
    </xf>
    <xf numFmtId="0" fontId="25" fillId="2" borderId="11" xfId="0" applyFont="1" applyFill="1" applyBorder="1" applyAlignment="1" applyProtection="1">
      <alignment horizontal="center" vertical="center"/>
      <protection locked="0"/>
    </xf>
    <xf numFmtId="0" fontId="25" fillId="2" borderId="12" xfId="0" applyFont="1" applyFill="1" applyBorder="1" applyAlignment="1" applyProtection="1">
      <alignment horizontal="center" vertical="center"/>
      <protection locked="0"/>
    </xf>
    <xf numFmtId="0" fontId="21" fillId="0" borderId="57" xfId="0" applyFont="1" applyFill="1" applyBorder="1" applyAlignment="1">
      <alignment horizontal="center" vertical="center"/>
    </xf>
    <xf numFmtId="0" fontId="27" fillId="0" borderId="57" xfId="0" applyFont="1" applyFill="1" applyBorder="1" applyAlignment="1" applyProtection="1">
      <alignment horizontal="center" vertical="center" wrapText="1"/>
      <protection locked="0"/>
    </xf>
    <xf numFmtId="0" fontId="27" fillId="0" borderId="54" xfId="0" applyFont="1" applyFill="1" applyBorder="1" applyAlignment="1" applyProtection="1">
      <alignment horizontal="center" vertical="center" wrapText="1"/>
      <protection locked="0"/>
    </xf>
    <xf numFmtId="0" fontId="21" fillId="0" borderId="57" xfId="0" applyFont="1" applyFill="1" applyBorder="1" applyAlignment="1">
      <alignment vertical="center"/>
    </xf>
    <xf numFmtId="0" fontId="21" fillId="0" borderId="86" xfId="0" applyFont="1" applyBorder="1" applyAlignment="1" applyProtection="1">
      <alignment horizontal="center" vertical="center" wrapText="1"/>
      <protection locked="0"/>
    </xf>
    <xf numFmtId="0" fontId="21" fillId="0" borderId="13" xfId="0" applyFont="1" applyBorder="1" applyAlignment="1">
      <alignment vertical="center" wrapText="1"/>
    </xf>
    <xf numFmtId="0" fontId="21" fillId="0" borderId="8" xfId="0" applyFont="1" applyBorder="1" applyAlignment="1" applyProtection="1">
      <alignment horizontal="center" vertical="center" wrapText="1"/>
      <protection locked="0"/>
    </xf>
    <xf numFmtId="0" fontId="21" fillId="0" borderId="92" xfId="0" applyFont="1" applyBorder="1" applyAlignment="1" applyProtection="1">
      <alignment horizontal="center" vertical="center" wrapText="1"/>
      <protection locked="0"/>
    </xf>
    <xf numFmtId="0" fontId="21" fillId="0" borderId="113" xfId="0" applyFont="1" applyFill="1" applyBorder="1" applyAlignment="1">
      <alignment horizontal="center" vertical="center"/>
    </xf>
    <xf numFmtId="0" fontId="21" fillId="0" borderId="113" xfId="0" applyFont="1" applyFill="1" applyBorder="1" applyAlignment="1">
      <alignment horizontal="center" vertical="center" wrapText="1"/>
    </xf>
    <xf numFmtId="0" fontId="21" fillId="0" borderId="113" xfId="0" applyFont="1" applyFill="1" applyBorder="1" applyAlignment="1" applyProtection="1">
      <alignment horizontal="center" vertical="center" wrapText="1"/>
      <protection locked="0"/>
    </xf>
    <xf numFmtId="0" fontId="27" fillId="0" borderId="111" xfId="0" applyFont="1" applyFill="1" applyBorder="1" applyAlignment="1" applyProtection="1">
      <alignment horizontal="center" vertical="center" wrapText="1"/>
      <protection locked="0"/>
    </xf>
    <xf numFmtId="0" fontId="21" fillId="0" borderId="110" xfId="0" applyFont="1" applyFill="1" applyBorder="1" applyAlignment="1">
      <alignment horizontal="center" vertical="center" wrapText="1"/>
    </xf>
    <xf numFmtId="0" fontId="21" fillId="0" borderId="112" xfId="0" applyFont="1" applyBorder="1" applyAlignment="1" applyProtection="1">
      <alignment horizontal="center" vertical="center" wrapText="1"/>
      <protection locked="0"/>
    </xf>
    <xf numFmtId="0" fontId="21" fillId="0" borderId="111" xfId="0" applyFont="1" applyBorder="1" applyAlignment="1" applyProtection="1">
      <alignment horizontal="center" vertical="center" wrapText="1"/>
      <protection locked="0"/>
    </xf>
    <xf numFmtId="0" fontId="21" fillId="0" borderId="110" xfId="0" applyFont="1" applyBorder="1" applyAlignment="1">
      <alignment horizontal="center" vertical="center" wrapText="1"/>
    </xf>
    <xf numFmtId="0" fontId="27" fillId="0" borderId="110" xfId="0" applyFont="1" applyBorder="1" applyAlignment="1">
      <alignment horizontal="center" vertical="center" wrapText="1"/>
    </xf>
    <xf numFmtId="9" fontId="21" fillId="0" borderId="110" xfId="1" applyFont="1" applyBorder="1" applyAlignment="1">
      <alignment horizontal="center" vertical="center" wrapText="1"/>
    </xf>
    <xf numFmtId="0" fontId="21" fillId="0" borderId="69" xfId="0" applyFont="1" applyFill="1" applyBorder="1" applyAlignment="1">
      <alignment horizontal="center" vertical="center" wrapText="1"/>
    </xf>
    <xf numFmtId="0" fontId="21" fillId="0" borderId="69" xfId="0" applyFont="1" applyFill="1" applyBorder="1" applyAlignment="1">
      <alignment vertical="center" wrapText="1"/>
    </xf>
    <xf numFmtId="0" fontId="21" fillId="0" borderId="69" xfId="0" applyFont="1" applyBorder="1" applyAlignment="1">
      <alignment horizontal="center" vertical="center" wrapText="1"/>
    </xf>
    <xf numFmtId="0" fontId="27" fillId="0" borderId="69" xfId="0" applyFont="1" applyBorder="1" applyAlignment="1">
      <alignment horizontal="center" vertical="center" wrapText="1"/>
    </xf>
    <xf numFmtId="0" fontId="21" fillId="0" borderId="68" xfId="0" applyFont="1" applyBorder="1" applyAlignment="1">
      <alignment vertical="center" wrapText="1"/>
    </xf>
    <xf numFmtId="9" fontId="21" fillId="0" borderId="68" xfId="1" applyFont="1" applyBorder="1" applyAlignment="1">
      <alignment horizontal="center" vertical="center" wrapText="1"/>
    </xf>
    <xf numFmtId="9" fontId="21" fillId="0" borderId="69" xfId="1" applyFont="1" applyBorder="1" applyAlignment="1">
      <alignment horizontal="center" vertical="center" wrapText="1"/>
    </xf>
    <xf numFmtId="0" fontId="21" fillId="0" borderId="70" xfId="0" applyFont="1" applyFill="1" applyBorder="1" applyAlignment="1">
      <alignment horizontal="center" vertical="center" wrapText="1"/>
    </xf>
    <xf numFmtId="0" fontId="21" fillId="0" borderId="70" xfId="0" applyFont="1" applyBorder="1" applyAlignment="1">
      <alignment horizontal="center" vertical="center" wrapText="1"/>
    </xf>
    <xf numFmtId="0" fontId="27" fillId="0" borderId="70" xfId="0" applyFont="1" applyBorder="1" applyAlignment="1">
      <alignment horizontal="center" vertical="center" wrapText="1"/>
    </xf>
    <xf numFmtId="9" fontId="21" fillId="0" borderId="70" xfId="1" applyFont="1" applyBorder="1" applyAlignment="1">
      <alignment horizontal="center" vertical="center" wrapText="1"/>
    </xf>
    <xf numFmtId="0" fontId="21" fillId="0" borderId="71" xfId="0" applyFont="1" applyFill="1" applyBorder="1" applyAlignment="1">
      <alignment horizontal="center" vertical="center" wrapText="1"/>
    </xf>
    <xf numFmtId="0" fontId="21" fillId="0" borderId="71" xfId="0" applyFont="1" applyBorder="1" applyAlignment="1">
      <alignment horizontal="center" vertical="center" wrapText="1"/>
    </xf>
    <xf numFmtId="0" fontId="27" fillId="0" borderId="71" xfId="0" applyFont="1" applyBorder="1" applyAlignment="1">
      <alignment horizontal="center" vertical="center" wrapText="1"/>
    </xf>
    <xf numFmtId="9" fontId="21" fillId="0" borderId="71" xfId="1" applyFont="1" applyBorder="1" applyAlignment="1">
      <alignment horizontal="center" vertical="center" wrapText="1"/>
    </xf>
    <xf numFmtId="0" fontId="21" fillId="0" borderId="106" xfId="0" applyFont="1" applyBorder="1" applyAlignment="1" applyProtection="1">
      <alignment horizontal="center" vertical="center"/>
      <protection locked="0"/>
    </xf>
    <xf numFmtId="0" fontId="21" fillId="0" borderId="107" xfId="0" applyFont="1" applyBorder="1" applyAlignment="1" applyProtection="1">
      <alignment horizontal="center" vertical="center"/>
      <protection locked="0"/>
    </xf>
    <xf numFmtId="0" fontId="21" fillId="0" borderId="108" xfId="0" applyFont="1" applyBorder="1" applyAlignment="1" applyProtection="1">
      <alignment horizontal="center" vertical="center"/>
      <protection locked="0"/>
    </xf>
    <xf numFmtId="0" fontId="27" fillId="0" borderId="57" xfId="0" applyFont="1" applyBorder="1" applyAlignment="1">
      <alignment horizontal="center" vertical="center" wrapText="1"/>
    </xf>
    <xf numFmtId="9" fontId="21" fillId="0" borderId="57" xfId="1" applyFont="1" applyBorder="1" applyAlignment="1">
      <alignment horizontal="center" vertical="center" wrapText="1"/>
    </xf>
    <xf numFmtId="9" fontId="21" fillId="0" borderId="50" xfId="1" applyFont="1" applyBorder="1" applyAlignment="1">
      <alignment horizontal="center" vertical="center" wrapText="1"/>
    </xf>
    <xf numFmtId="0" fontId="27" fillId="0" borderId="55" xfId="0" applyFont="1" applyBorder="1" applyAlignment="1">
      <alignment horizontal="center" vertical="center" wrapText="1"/>
    </xf>
    <xf numFmtId="9" fontId="21" fillId="0" borderId="55" xfId="1" applyFont="1" applyBorder="1" applyAlignment="1">
      <alignment horizontal="center" vertical="center" wrapText="1"/>
    </xf>
    <xf numFmtId="0" fontId="27" fillId="0" borderId="65" xfId="0" applyFont="1" applyBorder="1" applyAlignment="1">
      <alignment horizontal="center" vertical="center" wrapText="1"/>
    </xf>
    <xf numFmtId="9" fontId="21" fillId="0" borderId="65" xfId="1" applyFont="1" applyBorder="1" applyAlignment="1">
      <alignment horizontal="center" vertical="center" wrapText="1"/>
    </xf>
    <xf numFmtId="0" fontId="27" fillId="0" borderId="58" xfId="0" applyFont="1" applyBorder="1" applyAlignment="1">
      <alignment horizontal="center" vertical="center" wrapText="1"/>
    </xf>
    <xf numFmtId="0" fontId="21" fillId="0" borderId="50" xfId="0" applyFont="1" applyBorder="1" applyAlignment="1">
      <alignment vertical="center" wrapText="1"/>
    </xf>
    <xf numFmtId="9" fontId="21" fillId="0" borderId="58" xfId="1" applyFont="1" applyBorder="1" applyAlignment="1">
      <alignment horizontal="center" vertical="center" wrapText="1"/>
    </xf>
    <xf numFmtId="0" fontId="27" fillId="0" borderId="58" xfId="0" applyFont="1" applyBorder="1" applyAlignment="1">
      <alignment horizontal="center" vertical="center"/>
    </xf>
    <xf numFmtId="9" fontId="21" fillId="0" borderId="58" xfId="1" applyFont="1" applyBorder="1" applyAlignment="1">
      <alignment horizontal="center" vertical="center"/>
    </xf>
    <xf numFmtId="9" fontId="21" fillId="0" borderId="50" xfId="1" applyFont="1" applyBorder="1" applyAlignment="1">
      <alignment horizontal="center" vertical="center"/>
    </xf>
    <xf numFmtId="0" fontId="27" fillId="0" borderId="55" xfId="0" applyFont="1" applyBorder="1" applyAlignment="1">
      <alignment horizontal="center" vertical="center"/>
    </xf>
    <xf numFmtId="9" fontId="21" fillId="0" borderId="55" xfId="1" applyFont="1" applyBorder="1" applyAlignment="1">
      <alignment horizontal="center" vertical="center"/>
    </xf>
    <xf numFmtId="0" fontId="21" fillId="0" borderId="88" xfId="0" applyFont="1" applyFill="1" applyBorder="1" applyAlignment="1">
      <alignment horizontal="center" vertical="center" wrapText="1"/>
    </xf>
    <xf numFmtId="0" fontId="21" fillId="0" borderId="72" xfId="0" applyFont="1" applyBorder="1" applyAlignment="1">
      <alignment horizontal="center" vertical="center"/>
    </xf>
    <xf numFmtId="0" fontId="27" fillId="0" borderId="72" xfId="0" applyFont="1" applyBorder="1" applyAlignment="1">
      <alignment horizontal="center" vertical="center"/>
    </xf>
    <xf numFmtId="9" fontId="21" fillId="0" borderId="72" xfId="1" applyFont="1" applyBorder="1" applyAlignment="1">
      <alignment horizontal="center" vertical="center"/>
    </xf>
    <xf numFmtId="17" fontId="21" fillId="0" borderId="0" xfId="0" applyNumberFormat="1" applyFont="1" applyAlignment="1">
      <alignment horizontal="center" vertical="center" wrapText="1"/>
    </xf>
    <xf numFmtId="0" fontId="27" fillId="0" borderId="72" xfId="0" applyFont="1" applyBorder="1" applyAlignment="1">
      <alignment horizontal="center" vertical="center" wrapText="1"/>
    </xf>
    <xf numFmtId="9" fontId="21" fillId="0" borderId="72" xfId="1" applyFont="1" applyBorder="1" applyAlignment="1">
      <alignment horizontal="center" vertical="center" wrapText="1"/>
    </xf>
    <xf numFmtId="0" fontId="21" fillId="0" borderId="87" xfId="0" applyFont="1" applyBorder="1" applyAlignment="1" applyProtection="1">
      <alignment horizontal="center" vertical="center"/>
      <protection locked="0"/>
    </xf>
    <xf numFmtId="0" fontId="21" fillId="0" borderId="58" xfId="0" applyFont="1" applyFill="1" applyBorder="1" applyAlignment="1">
      <alignment horizontal="center" wrapText="1"/>
    </xf>
    <xf numFmtId="0" fontId="21" fillId="0" borderId="55" xfId="0" applyFont="1" applyFill="1" applyBorder="1" applyAlignment="1">
      <alignment horizontal="center" wrapText="1"/>
    </xf>
    <xf numFmtId="0" fontId="21" fillId="0" borderId="65" xfId="0" applyFont="1" applyFill="1" applyBorder="1" applyAlignment="1">
      <alignment horizontal="center" wrapText="1"/>
    </xf>
    <xf numFmtId="0" fontId="21" fillId="0" borderId="4" xfId="0" applyFont="1" applyFill="1" applyBorder="1" applyAlignment="1">
      <alignment horizontal="center" vertical="center"/>
    </xf>
    <xf numFmtId="0" fontId="21" fillId="0" borderId="67" xfId="0" applyFont="1" applyFill="1" applyBorder="1" applyAlignment="1">
      <alignment horizontal="center" wrapText="1"/>
    </xf>
    <xf numFmtId="0" fontId="21" fillId="0" borderId="4" xfId="0" applyFont="1" applyFill="1" applyBorder="1" applyAlignment="1">
      <alignment horizontal="center" wrapText="1"/>
    </xf>
    <xf numFmtId="0" fontId="21" fillId="0" borderId="79" xfId="0" applyFont="1" applyFill="1" applyBorder="1" applyAlignment="1">
      <alignment horizontal="center" vertical="center"/>
    </xf>
    <xf numFmtId="0" fontId="21" fillId="0" borderId="66" xfId="0" applyFont="1" applyFill="1" applyBorder="1" applyAlignment="1">
      <alignment horizontal="center" wrapText="1"/>
    </xf>
    <xf numFmtId="0" fontId="21" fillId="0" borderId="79" xfId="0" applyFont="1" applyFill="1" applyBorder="1" applyAlignment="1">
      <alignment horizontal="center" wrapText="1"/>
    </xf>
    <xf numFmtId="0" fontId="21" fillId="0" borderId="19" xfId="0" applyFont="1" applyFill="1" applyBorder="1" applyAlignment="1" applyProtection="1">
      <alignment horizontal="justify" vertical="center" wrapText="1"/>
      <protection locked="0"/>
    </xf>
    <xf numFmtId="0" fontId="21" fillId="0" borderId="68" xfId="0" applyFont="1" applyFill="1" applyBorder="1" applyAlignment="1">
      <alignment horizontal="center" vertical="center" wrapText="1"/>
    </xf>
    <xf numFmtId="9" fontId="21" fillId="0" borderId="68" xfId="1" applyFont="1" applyFill="1" applyBorder="1" applyAlignment="1">
      <alignment horizontal="center" vertical="center" wrapText="1"/>
    </xf>
    <xf numFmtId="0" fontId="21" fillId="0" borderId="13" xfId="0" applyFont="1" applyBorder="1" applyAlignment="1" applyProtection="1">
      <alignment horizontal="center" vertical="center"/>
      <protection locked="0"/>
    </xf>
    <xf numFmtId="0" fontId="27" fillId="0" borderId="13" xfId="0" applyFont="1" applyBorder="1" applyAlignment="1" applyProtection="1">
      <alignment horizontal="justify" vertical="center" readingOrder="1"/>
      <protection locked="0"/>
    </xf>
    <xf numFmtId="0" fontId="21" fillId="0" borderId="2"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8"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18"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81"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9" fontId="21" fillId="0" borderId="22" xfId="0" applyNumberFormat="1" applyFont="1" applyBorder="1" applyAlignment="1" applyProtection="1">
      <alignment horizontal="center" vertical="center" wrapText="1"/>
      <protection locked="0"/>
    </xf>
    <xf numFmtId="0" fontId="27" fillId="3" borderId="22" xfId="0" applyFont="1" applyFill="1" applyBorder="1" applyAlignment="1" applyProtection="1">
      <alignment horizontal="center" vertical="center" wrapText="1"/>
      <protection locked="0"/>
    </xf>
    <xf numFmtId="0" fontId="21" fillId="3" borderId="22"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9" fontId="26" fillId="0" borderId="22" xfId="1" applyFont="1" applyFill="1" applyBorder="1" applyAlignment="1" applyProtection="1">
      <alignment horizontal="center" vertical="center" wrapText="1"/>
      <protection locked="0"/>
    </xf>
    <xf numFmtId="9" fontId="26" fillId="0" borderId="22" xfId="0" applyNumberFormat="1" applyFont="1" applyFill="1" applyBorder="1" applyAlignment="1" applyProtection="1">
      <alignment horizontal="center" vertical="center" wrapText="1"/>
      <protection locked="0"/>
    </xf>
    <xf numFmtId="0" fontId="25" fillId="3" borderId="22" xfId="0" applyFont="1" applyFill="1" applyBorder="1" applyAlignment="1" applyProtection="1">
      <alignment horizontal="center" vertical="center" wrapText="1"/>
      <protection locked="0"/>
    </xf>
    <xf numFmtId="0" fontId="21" fillId="0" borderId="22" xfId="0" applyFont="1" applyBorder="1" applyAlignment="1" applyProtection="1">
      <alignment horizontal="center" vertical="center" textRotation="90"/>
      <protection locked="0"/>
    </xf>
    <xf numFmtId="0" fontId="21" fillId="0" borderId="27" xfId="0" applyFont="1" applyBorder="1" applyAlignment="1" applyProtection="1">
      <alignment horizontal="center" vertical="center" wrapText="1"/>
      <protection locked="0"/>
    </xf>
    <xf numFmtId="0" fontId="27" fillId="0" borderId="56" xfId="0" applyFont="1" applyFill="1" applyBorder="1" applyAlignment="1" applyProtection="1">
      <alignment horizontal="justify" vertical="center" readingOrder="1"/>
      <protection locked="0"/>
    </xf>
    <xf numFmtId="0" fontId="27" fillId="0" borderId="22" xfId="0" applyFont="1" applyFill="1" applyBorder="1" applyAlignment="1" applyProtection="1">
      <alignment horizontal="justify" vertical="center" readingOrder="1"/>
      <protection locked="0"/>
    </xf>
  </cellXfs>
  <cellStyles count="5">
    <cellStyle name="Normal" xfId="0" builtinId="0"/>
    <cellStyle name="Normal - Style1 2" xfId="2"/>
    <cellStyle name="Normal 2" xfId="3"/>
    <cellStyle name="Normal 2 2" xfId="4"/>
    <cellStyle name="Porcentaje" xfId="1" builtinId="5"/>
  </cellStyles>
  <dxfs count="2358">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fgColor theme="0"/>
        </patternFill>
      </fill>
    </dxf>
    <dxf>
      <fill>
        <patternFill>
          <fgColor theme="0"/>
        </patternFill>
      </fill>
    </dxf>
    <dxf>
      <fill>
        <patternFill>
          <fgColor theme="0"/>
        </patternFill>
      </fill>
    </dxf>
    <dxf>
      <fill>
        <patternFill>
          <fgColor theme="0"/>
        </patternFill>
      </fill>
    </dxf>
    <dxf>
      <fill>
        <patternFill>
          <fgColor theme="0"/>
        </patternFill>
      </fill>
    </dxf>
    <dxf>
      <fill>
        <patternFill>
          <fgColor theme="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fgColor theme="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fgColor theme="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fgColor theme="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fgColor theme="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fgColor theme="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173691</xdr:colOff>
      <xdr:row>0</xdr:row>
      <xdr:rowOff>187699</xdr:rowOff>
    </xdr:from>
    <xdr:to>
      <xdr:col>4</xdr:col>
      <xdr:colOff>4762</xdr:colOff>
      <xdr:row>2</xdr:row>
      <xdr:rowOff>154781</xdr:rowOff>
    </xdr:to>
    <xdr:pic>
      <xdr:nvPicPr>
        <xdr:cNvPr id="2" name="1 Imagen" descr="Imagen que contiene Interfaz de usuario gráfica&#10;&#10;Descripción generada automáticamente">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91" y="187699"/>
          <a:ext cx="2879071" cy="710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97491</xdr:colOff>
      <xdr:row>0</xdr:row>
      <xdr:rowOff>254374</xdr:rowOff>
    </xdr:from>
    <xdr:to>
      <xdr:col>2</xdr:col>
      <xdr:colOff>759796</xdr:colOff>
      <xdr:row>0</xdr:row>
      <xdr:rowOff>907565</xdr:rowOff>
    </xdr:to>
    <xdr:pic>
      <xdr:nvPicPr>
        <xdr:cNvPr id="2" name="1 Imagen" descr="Imagen que contiene Interfaz de usuario gráfica&#10;&#10;Descripción generada automáticamente">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491" y="254374"/>
          <a:ext cx="2519680" cy="653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173691</xdr:colOff>
      <xdr:row>0</xdr:row>
      <xdr:rowOff>187699</xdr:rowOff>
    </xdr:from>
    <xdr:to>
      <xdr:col>2</xdr:col>
      <xdr:colOff>1428749</xdr:colOff>
      <xdr:row>5</xdr:row>
      <xdr:rowOff>80963</xdr:rowOff>
    </xdr:to>
    <xdr:pic>
      <xdr:nvPicPr>
        <xdr:cNvPr id="2" name="1 Imagen" descr="Imagen que contiene Interfaz de usuario gráfica&#10;&#10;Descripción generada automáticamente">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91" y="149599"/>
          <a:ext cx="2569508" cy="693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130549</xdr:rowOff>
    </xdr:from>
    <xdr:ext cx="2519680" cy="653191"/>
    <xdr:pic>
      <xdr:nvPicPr>
        <xdr:cNvPr id="2" name="1 Imagen" descr="Imagen que contiene Interfaz de usuario gráfica&#10;&#10;Descripción generada automáticamente">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130549"/>
          <a:ext cx="2519680" cy="65319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gerenci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5.%20comerci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revisados_pasar_formato_nuevo/matriz_riesgos_comercial2_20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6.%20Evaluacion_contro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PAS_RIESGO_2021/matriz_riesgos_Contratacion_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PAS_RIESGO_2021/formato_matriz_riesgos_vial2_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evisados_pasar_formato_nuevo/matriz_riesgos_CI_20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PAS_RIESGO_2021/matriz_riesgos_contravenciones_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PAS_RIESGO_2021/talento_hunamo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4.%20administrativ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5.%20contrat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0planeaci&#243;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7.%20TI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USUARIO\Downloads\mapa_riesgos_de_gestion_administrativa_2021_version_1.0%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2.%20talento_human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triz_riesgos_planeacion_202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triz_tramite_ITA_202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triz_riesgos_contravenciones_202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wnloads/matriz_riesgos_gestion_gerencial_202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formato_matriz_riesgos_vial2_202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mpajaro/Documents/riesgos_gina/PRODUCTOS/2021/SUBIR_PAGINA/matriz_riesgos_gestion_documental_202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11.%20tramites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Reeducaci&#243;n.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mpajaro/Documents/riesgos_gina/PRODUCTOS/2022/tercer_corte/11.%20trami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20gesti&#243;n_documen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8.%20seguridad_vial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20financie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1.%20tramit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3.%20soporte_juridic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20control_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efreshError="1"/>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3">
          <cell r="A43" t="str">
            <v>Preventivo</v>
          </cell>
        </row>
        <row r="44">
          <cell r="A44" t="str">
            <v>Detectivo</v>
          </cell>
        </row>
        <row r="45">
          <cell r="A45" t="str">
            <v>Correctivo</v>
          </cell>
        </row>
      </sheetData>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efreshError="1"/>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 val="Hoja2"/>
    </sheetNames>
    <sheetDataSet>
      <sheetData sheetId="0"/>
      <sheetData sheetId="1"/>
      <sheetData sheetId="2"/>
      <sheetData sheetId="3"/>
      <sheetData sheetId="4"/>
      <sheetData sheetId="5"/>
      <sheetData sheetId="6"/>
      <sheetData sheetId="7">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sheetData>
      <sheetData sheetId="8"/>
      <sheetData sheetId="9"/>
      <sheetData sheetId="10"/>
      <sheetData sheetId="1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sheetData sheetId="1"/>
      <sheetData sheetId="2">
        <row r="2">
          <cell r="A2" t="str">
            <v>Casi seguro</v>
          </cell>
        </row>
      </sheetData>
      <sheetData sheetId="3"/>
      <sheetData sheetId="4"/>
      <sheetData sheetId="5"/>
      <sheetData sheetId="6"/>
      <sheetData sheetId="7">
        <row r="19">
          <cell r="A19" t="str">
            <v xml:space="preserve">Afectación menor a 10 SMLMV </v>
          </cell>
        </row>
      </sheetData>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refreshError="1"/>
      <sheetData sheetId="1" refreshError="1"/>
      <sheetData sheetId="2" refreshError="1">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 sheetId="3" refreshError="1"/>
      <sheetData sheetId="4" refreshError="1"/>
      <sheetData sheetId="5" refreshError="1"/>
      <sheetData sheetId="6" refreshError="1"/>
      <sheetData sheetId="7" refreshError="1">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sheetData>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 val="Hoja2"/>
      <sheetName val="Hoja3"/>
    </sheetNames>
    <sheetDataSet>
      <sheetData sheetId="0" refreshError="1"/>
      <sheetData sheetId="1" refreshError="1"/>
      <sheetData sheetId="2" refreshError="1">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 sheetId="3" refreshError="1"/>
      <sheetData sheetId="4" refreshError="1"/>
      <sheetData sheetId="5" refreshError="1"/>
      <sheetData sheetId="6" refreshError="1"/>
      <sheetData sheetId="7" refreshError="1">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_riesgos_corrupción"/>
      <sheetName val="calificación_impacto_corrupción"/>
    </sheetNames>
    <sheetDataSet>
      <sheetData sheetId="0" refreshError="1"/>
      <sheetData sheetId="1" refreshError="1"/>
      <sheetData sheetId="2">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_riesgos_corrupción"/>
      <sheetName val="calificación_impacto_corrupción"/>
    </sheetNames>
    <sheetDataSet>
      <sheetData sheetId="0"/>
      <sheetData sheetId="1"/>
      <sheetData sheetId="2">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ow r="2">
          <cell r="FX2" t="str">
            <v>Preventivo</v>
          </cell>
          <cell r="FY2" t="str">
            <v>Automático</v>
          </cell>
        </row>
        <row r="3">
          <cell r="FX3" t="str">
            <v>Detectivo</v>
          </cell>
          <cell r="FY3" t="str">
            <v>Manual</v>
          </cell>
        </row>
        <row r="4">
          <cell r="FV4" t="str">
            <v xml:space="preserve">Afectación menor a 10 SMLMV </v>
          </cell>
          <cell r="FX4" t="str">
            <v>Correctivo</v>
          </cell>
        </row>
        <row r="5">
          <cell r="FV5" t="str">
            <v xml:space="preserve">Entre 10 y 50 SMLMV </v>
          </cell>
        </row>
        <row r="6">
          <cell r="FV6" t="str">
            <v xml:space="preserve">Entre 50 y 100 SMLMV </v>
          </cell>
        </row>
        <row r="7">
          <cell r="FV7" t="str">
            <v xml:space="preserve">Entre 100 y 500 SMLMV </v>
          </cell>
        </row>
        <row r="8">
          <cell r="FV8" t="str">
            <v xml:space="preserve">Mayor a 500 SMLMV </v>
          </cell>
        </row>
        <row r="10">
          <cell r="FV10" t="str">
            <v>El riesgo afecta la imagen de alguna área de la organización</v>
          </cell>
        </row>
        <row r="11">
          <cell r="FV11" t="str">
            <v>El riesgo afecta la imagen de la entidad internamente, de conocimiento general, nivel interno, de junta dircetiva y accionistas y/o de provedores</v>
          </cell>
        </row>
        <row r="12">
          <cell r="FV12" t="str">
            <v>El riesgo afecta la imagen de la entidad con algunos usuarios de relevancia frente al logro de los objetivos</v>
          </cell>
        </row>
        <row r="13">
          <cell r="FV13" t="str">
            <v>El riesgo afecta la imagen de de la entidad con efecto publicitario sostenido a nivel de sector administrativo, nivel departamental o municipal</v>
          </cell>
        </row>
        <row r="14">
          <cell r="FV14" t="str">
            <v>El riesgo afecta la imagen de la entidad a nivel nacional, con efecto publicitarios sostenible a nivel país</v>
          </cell>
        </row>
      </sheetData>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_riesgos_corrupción"/>
      <sheetName val="calificación_impacto_corrupción"/>
    </sheetNames>
    <sheetDataSet>
      <sheetData sheetId="0" refreshError="1"/>
      <sheetData sheetId="1" refreshError="1"/>
      <sheetData sheetId="2">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DESPLEGABLES"/>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_riesgos_corrupción"/>
      <sheetName val="calificación_impacto_corrupción"/>
    </sheetNames>
    <sheetDataSet>
      <sheetData sheetId="0" refreshError="1"/>
      <sheetData sheetId="1" refreshError="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sheetData sheetId="1"/>
      <sheetData sheetId="2"/>
      <sheetData sheetId="3"/>
      <sheetData sheetId="4"/>
      <sheetData sheetId="5"/>
      <sheetData sheetId="6"/>
      <sheetData sheetId="7">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row r="43">
          <cell r="A43" t="str">
            <v>Preventivo</v>
          </cell>
        </row>
        <row r="44">
          <cell r="A44" t="str">
            <v>Detectivo</v>
          </cell>
        </row>
        <row r="45">
          <cell r="A45" t="str">
            <v>Correctivo</v>
          </cell>
        </row>
        <row r="53">
          <cell r="A53" t="str">
            <v>Automático</v>
          </cell>
        </row>
        <row r="54">
          <cell r="A54" t="str">
            <v>Manual</v>
          </cell>
        </row>
      </sheetData>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refreshError="1"/>
      <sheetData sheetId="1" refreshError="1"/>
      <sheetData sheetId="2">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 sheetId="3" refreshError="1"/>
      <sheetData sheetId="4" refreshError="1"/>
      <sheetData sheetId="5" refreshError="1"/>
      <sheetData sheetId="6" refreshError="1"/>
      <sheetData sheetId="7">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row r="43">
          <cell r="A43" t="str">
            <v>Preventivo</v>
          </cell>
        </row>
        <row r="44">
          <cell r="A44" t="str">
            <v>Detectivo</v>
          </cell>
        </row>
        <row r="45">
          <cell r="A45" t="str">
            <v>Correctivo</v>
          </cell>
        </row>
        <row r="53">
          <cell r="A53" t="str">
            <v>Automático</v>
          </cell>
        </row>
        <row r="54">
          <cell r="A54" t="str">
            <v>Manual</v>
          </cell>
        </row>
      </sheetData>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row r="43">
          <cell r="A43" t="str">
            <v>Preventivo</v>
          </cell>
        </row>
        <row r="44">
          <cell r="A44" t="str">
            <v>Detectivo</v>
          </cell>
        </row>
        <row r="45">
          <cell r="A45" t="str">
            <v>Correctivo</v>
          </cell>
        </row>
        <row r="53">
          <cell r="A53" t="str">
            <v>Automático</v>
          </cell>
        </row>
        <row r="54">
          <cell r="A54" t="str">
            <v>Manual</v>
          </cell>
        </row>
      </sheetData>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sheetData sheetId="1"/>
      <sheetData sheetId="2">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 sheetId="3"/>
      <sheetData sheetId="4"/>
      <sheetData sheetId="5"/>
      <sheetData sheetId="6"/>
      <sheetData sheetId="7">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sheetData>
      <sheetData sheetId="8"/>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refreshError="1"/>
      <sheetData sheetId="1" refreshError="1"/>
      <sheetData sheetId="2">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 sheetId="3" refreshError="1"/>
      <sheetData sheetId="4" refreshError="1"/>
      <sheetData sheetId="5" refreshError="1"/>
      <sheetData sheetId="6" refreshError="1"/>
      <sheetData sheetId="7">
        <row r="19">
          <cell r="A19" t="str">
            <v xml:space="preserve">Afectación menor a 10 SMLMV </v>
          </cell>
        </row>
        <row r="20">
          <cell r="A20" t="str">
            <v xml:space="preserve">Entre 10 y 50 SMLMV </v>
          </cell>
        </row>
        <row r="21">
          <cell r="A21" t="str">
            <v xml:space="preserve">Entre 50 y 100 SMLMV </v>
          </cell>
        </row>
        <row r="22">
          <cell r="A22" t="str">
            <v xml:space="preserve">Entre 100 y 500 SMLMV </v>
          </cell>
        </row>
        <row r="23">
          <cell r="A23" t="str">
            <v xml:space="preserve">Mayor a 500 SMLMV </v>
          </cell>
        </row>
        <row r="25">
          <cell r="A25" t="str">
            <v>El riesgo afecta la imagen de alguna área de la organización</v>
          </cell>
        </row>
        <row r="26">
          <cell r="A26" t="str">
            <v>El riesgo afecta la imagen de la entidad internamente, de conocimiento general, nivel interno, de junta dircetiva y accionistas y/o de provedores</v>
          </cell>
        </row>
        <row r="27">
          <cell r="A27" t="str">
            <v>El riesgo afecta la imagen de la entidad con algunos usuarios de relevancia frente al logro de los objetivos</v>
          </cell>
        </row>
        <row r="28">
          <cell r="A28" t="str">
            <v>El riesgo afecta la imagen de de la entidad con efecto publicitario sostenido a nivel de sector administrativo, nivel departamental o municipal</v>
          </cell>
        </row>
        <row r="29">
          <cell r="A29" t="str">
            <v>El riesgo afecta la imagen de la entidad a nivel nacional, con efecto publicitarios sostenible a nivel país</v>
          </cell>
        </row>
        <row r="31">
          <cell r="A31" t="str">
            <v>Entre 1 y 5 criterios para calificar el impacto son afirmativos. Genera un impacto moderado</v>
          </cell>
        </row>
        <row r="32">
          <cell r="A32" t="str">
            <v>Entre 6 y 11 criterios para calificar el impacto son afirmativos. Genera un impacto mayor</v>
          </cell>
        </row>
        <row r="33">
          <cell r="A33" t="str">
            <v>Entre 12 y 19 criterios para calificar el impacto son afirmativos. Genera un impacto catastrófico</v>
          </cell>
        </row>
      </sheetData>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s_SI_Gestión"/>
      <sheetName val="matriz_riesgos_corrupción"/>
      <sheetName val="calificación_impacto_corrupción"/>
      <sheetName val="posibles riesgoscorrupción"/>
      <sheetName val="Tabla Valoración controles"/>
      <sheetName val="probabilidad"/>
      <sheetName val="impacto"/>
      <sheetName val="DESPLEGABLES"/>
      <sheetName val="matriz_activos_SI"/>
      <sheetName val="vulnerabi_amena_activos_SI"/>
      <sheetName val="controles_SI"/>
      <sheetName val="Hoja1"/>
    </sheetNames>
    <sheetDataSet>
      <sheetData sheetId="0"/>
      <sheetData sheetId="1"/>
      <sheetData sheetId="2">
        <row r="2">
          <cell r="A2" t="str">
            <v>Casi seguro</v>
          </cell>
        </row>
      </sheetData>
      <sheetData sheetId="3"/>
      <sheetData sheetId="4"/>
      <sheetData sheetId="5"/>
      <sheetData sheetId="6"/>
      <sheetData sheetId="7">
        <row r="19">
          <cell r="A19" t="str">
            <v xml:space="preserve">Afectación menor a 10 SMLMV </v>
          </cell>
        </row>
      </sheetData>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efreshError="1"/>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efreshError="1"/>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efreshError="1"/>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ow r="2">
          <cell r="FX2" t="str">
            <v>Preventivo</v>
          </cell>
          <cell r="FY2" t="str">
            <v>Automático</v>
          </cell>
        </row>
        <row r="3">
          <cell r="FX3" t="str">
            <v>Detectivo</v>
          </cell>
          <cell r="FY3" t="str">
            <v>Manual</v>
          </cell>
        </row>
        <row r="4">
          <cell r="C4" t="str">
            <v>Educación y Seguridad vial</v>
          </cell>
          <cell r="FV4" t="str">
            <v xml:space="preserve">Afectación menor a 10 SMLMV </v>
          </cell>
          <cell r="FX4" t="str">
            <v>Correctivo</v>
          </cell>
        </row>
        <row r="5">
          <cell r="FV5" t="str">
            <v xml:space="preserve">Entre 10 y 50 SMLMV </v>
          </cell>
        </row>
        <row r="6">
          <cell r="FV6" t="str">
            <v xml:space="preserve">Entre 50 y 100 SMLMV </v>
          </cell>
        </row>
        <row r="7">
          <cell r="FV7" t="str">
            <v xml:space="preserve">Entre 100 y 500 SMLMV </v>
          </cell>
        </row>
        <row r="8">
          <cell r="FV8" t="str">
            <v xml:space="preserve">Mayor a 500 SMLMV </v>
          </cell>
        </row>
        <row r="10">
          <cell r="FV10" t="str">
            <v>El riesgo afecta la imagen de alguna área de la organización</v>
          </cell>
        </row>
        <row r="11">
          <cell r="FV11" t="str">
            <v>El riesgo afecta la imagen de la entidad internamente, de conocimiento general, nivel interno, de junta dircetiva y accionistas y/o de provedores</v>
          </cell>
        </row>
        <row r="12">
          <cell r="FV12" t="str">
            <v>El riesgo afecta la imagen de la entidad con algunos usuarios de relevancia frente al logro de los objetivos</v>
          </cell>
        </row>
        <row r="13">
          <cell r="FV13" t="str">
            <v>El riesgo afecta la imagen de de la entidad con efecto publicitario sostenido a nivel de sector administrativo, nivel departamental o municipal</v>
          </cell>
        </row>
        <row r="14">
          <cell r="FV14" t="str">
            <v>El riesgo afecta la imagen de la entidad a nivel nacional, con efecto publicitarios sostenible a nivel país</v>
          </cell>
        </row>
      </sheetData>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efreshError="1"/>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row r="2">
          <cell r="FX2" t="str">
            <v>Preventivo</v>
          </cell>
          <cell r="FY2" t="str">
            <v>Automático</v>
          </cell>
        </row>
        <row r="3">
          <cell r="FX3" t="str">
            <v>Detectivo</v>
          </cell>
          <cell r="FY3" t="str">
            <v>Manual</v>
          </cell>
        </row>
        <row r="4">
          <cell r="FV4" t="str">
            <v xml:space="preserve">Afectación menor a 10 SMLMV </v>
          </cell>
          <cell r="FX4" t="str">
            <v>Correctivo</v>
          </cell>
        </row>
        <row r="5">
          <cell r="FV5" t="str">
            <v xml:space="preserve">Entre 10 y 50 SMLMV </v>
          </cell>
        </row>
        <row r="6">
          <cell r="FV6" t="str">
            <v xml:space="preserve">Entre 50 y 100 SMLMV </v>
          </cell>
        </row>
        <row r="7">
          <cell r="FV7" t="str">
            <v xml:space="preserve">Entre 100 y 500 SMLMV </v>
          </cell>
        </row>
        <row r="8">
          <cell r="FV8" t="str">
            <v xml:space="preserve">Mayor a 500 SMLMV </v>
          </cell>
        </row>
        <row r="10">
          <cell r="FV10" t="str">
            <v>El riesgo afecta la imagen de alguna área de la organización</v>
          </cell>
        </row>
        <row r="11">
          <cell r="FV11" t="str">
            <v>El riesgo afecta la imagen de la entidad internamente, de conocimiento general, nivel interno, de junta dircetiva y accionistas y/o de provedores</v>
          </cell>
        </row>
        <row r="12">
          <cell r="FV12" t="str">
            <v>El riesgo afecta la imagen de la entidad con algunos usuarios de relevancia frente al logro de los objetivos</v>
          </cell>
        </row>
        <row r="13">
          <cell r="FV13" t="str">
            <v>El riesgo afecta la imagen de de la entidad con efecto publicitario sostenido a nivel de sector administrativo, nivel departamental o municipal</v>
          </cell>
        </row>
        <row r="14">
          <cell r="FV14" t="str">
            <v>El riesgo afecta la imagen de la entidad a nivel nacional, con efecto publicitarios sostenible a nivel país</v>
          </cell>
        </row>
      </sheetData>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refreshError="1"/>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_riesgo_gesti_seguridad"/>
      <sheetName val="MATRIZ RIESGO"/>
      <sheetName val="matriz_riesgos_corrupción"/>
      <sheetName val="calificación_impacto_corrupción"/>
    </sheetNames>
    <sheetDataSet>
      <sheetData sheetId="0"/>
      <sheetData sheetId="1">
        <row r="5">
          <cell r="D5" t="str">
            <v>Leve</v>
          </cell>
          <cell r="E5" t="str">
            <v>Menor</v>
          </cell>
          <cell r="F5" t="str">
            <v>Moderado</v>
          </cell>
          <cell r="G5" t="str">
            <v>Mayor</v>
          </cell>
          <cell r="H5" t="str">
            <v>Catastrófico</v>
          </cell>
        </row>
        <row r="6">
          <cell r="C6" t="str">
            <v>Muy Alta</v>
          </cell>
          <cell r="D6" t="str">
            <v>Alto</v>
          </cell>
          <cell r="E6" t="str">
            <v>Alto</v>
          </cell>
          <cell r="F6" t="str">
            <v>Alto</v>
          </cell>
          <cell r="G6" t="str">
            <v>Alto</v>
          </cell>
          <cell r="H6" t="str">
            <v>Extremo</v>
          </cell>
        </row>
        <row r="7">
          <cell r="C7" t="str">
            <v>Alta</v>
          </cell>
          <cell r="D7" t="str">
            <v>Moderado</v>
          </cell>
          <cell r="E7" t="str">
            <v>Moderado</v>
          </cell>
          <cell r="F7" t="str">
            <v>Alto</v>
          </cell>
          <cell r="G7" t="str">
            <v>Alto</v>
          </cell>
          <cell r="H7" t="str">
            <v>Extremo</v>
          </cell>
        </row>
        <row r="8">
          <cell r="C8" t="str">
            <v>Media</v>
          </cell>
          <cell r="D8" t="str">
            <v>Moderado</v>
          </cell>
          <cell r="E8" t="str">
            <v>Moderado</v>
          </cell>
          <cell r="F8" t="str">
            <v>Moderado</v>
          </cell>
          <cell r="G8" t="str">
            <v>Alto</v>
          </cell>
          <cell r="H8" t="str">
            <v>Extremo</v>
          </cell>
        </row>
        <row r="9">
          <cell r="C9" t="str">
            <v>Baja</v>
          </cell>
          <cell r="D9" t="str">
            <v>Bajo</v>
          </cell>
          <cell r="E9" t="str">
            <v>Moderado</v>
          </cell>
          <cell r="F9" t="str">
            <v>Moderado</v>
          </cell>
          <cell r="G9" t="str">
            <v>Alto</v>
          </cell>
          <cell r="H9" t="str">
            <v>Extremo</v>
          </cell>
        </row>
        <row r="10">
          <cell r="C10" t="str">
            <v>Muy Baja</v>
          </cell>
          <cell r="D10" t="str">
            <v>Bajo</v>
          </cell>
          <cell r="E10" t="str">
            <v>Bajo</v>
          </cell>
          <cell r="F10" t="str">
            <v>Moderado</v>
          </cell>
          <cell r="G10" t="str">
            <v>Alto</v>
          </cell>
          <cell r="H10" t="str">
            <v>Extremo</v>
          </cell>
        </row>
      </sheetData>
      <sheetData sheetId="2"/>
      <sheetData sheetId="3">
        <row r="2">
          <cell r="A2" t="str">
            <v>Casi seguro</v>
          </cell>
          <cell r="B2" t="str">
            <v xml:space="preserve">Se espera que el evento ocurra en la mayoría de las circunstancias. Más de 1 vez al año
</v>
          </cell>
        </row>
        <row r="3">
          <cell r="A3" t="str">
            <v>Probable</v>
          </cell>
          <cell r="B3" t="str">
            <v xml:space="preserve">Es viable que el evento ocurra en la mayoría de las circunstancias. Al menos una vez en el año
</v>
          </cell>
        </row>
        <row r="4">
          <cell r="A4" t="str">
            <v>Posible</v>
          </cell>
          <cell r="B4" t="str">
            <v>El evento podrá ocurrir en algún momento.Al menos una vez en los últimos 2 años</v>
          </cell>
        </row>
        <row r="5">
          <cell r="A5" t="str">
            <v>Improbable</v>
          </cell>
          <cell r="B5" t="str">
            <v>El evento puede ocurrir en algún momento. Al menos una vez en los últimos 5 años</v>
          </cell>
        </row>
        <row r="6">
          <cell r="A6" t="str">
            <v>Rara vez</v>
          </cell>
          <cell r="B6" t="str">
            <v>El evento puede ocurrir solo en circunstancias excepcionales (poco comunes o anormales)No se ha presentado en los últimos 5 años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Y504"/>
  <sheetViews>
    <sheetView tabSelected="1" workbookViewId="0">
      <selection activeCell="M12" sqref="M12:M17"/>
    </sheetView>
  </sheetViews>
  <sheetFormatPr baseColWidth="10" defaultRowHeight="12.75" x14ac:dyDescent="0.2"/>
  <cols>
    <col min="1" max="2" width="11.42578125" style="100"/>
    <col min="3" max="9" width="11.42578125" style="100" customWidth="1"/>
    <col min="10" max="12" width="11.42578125" style="81" customWidth="1"/>
    <col min="13" max="13" width="32.140625" style="81" customWidth="1"/>
    <col min="14" max="14" width="11.42578125" style="81" customWidth="1"/>
    <col min="15" max="15" width="11.85546875" style="81" customWidth="1"/>
    <col min="16" max="16" width="11.42578125" style="81" customWidth="1"/>
    <col min="17" max="17" width="6.5703125" style="81" customWidth="1"/>
    <col min="18" max="18" width="16.28515625" style="81" customWidth="1"/>
    <col min="19" max="25" width="11.42578125" style="81" customWidth="1"/>
    <col min="26" max="26" width="11.42578125" style="93" customWidth="1"/>
    <col min="27" max="27" width="7" style="93" customWidth="1"/>
    <col min="28" max="28" width="7" style="93" hidden="1" customWidth="1"/>
    <col min="29" max="29" width="12.140625" style="81" customWidth="1"/>
    <col min="30" max="30" width="11.42578125" style="81" customWidth="1"/>
    <col min="31" max="31" width="7.140625" style="93" customWidth="1"/>
    <col min="32" max="32" width="7.140625" style="93" hidden="1" customWidth="1"/>
    <col min="33" max="33" width="11.42578125" style="81" customWidth="1"/>
    <col min="34" max="34" width="11.85546875" style="81" customWidth="1"/>
    <col min="35" max="35" width="11.42578125" style="81" customWidth="1"/>
    <col min="36" max="37" width="11.42578125" style="81"/>
    <col min="38" max="38" width="11.42578125" style="99"/>
    <col min="39" max="168" width="11.42578125" style="81"/>
    <col min="169" max="169" width="2.28515625" style="91" customWidth="1"/>
    <col min="170" max="181" width="0" style="81" hidden="1" customWidth="1"/>
    <col min="182" max="16384" width="11.42578125" style="81"/>
  </cols>
  <sheetData>
    <row r="1" spans="1:181" s="83" customFormat="1" ht="29.25" customHeight="1" x14ac:dyDescent="0.2">
      <c r="A1" s="552" t="s">
        <v>254</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4"/>
      <c r="AP1" s="94" t="s">
        <v>0</v>
      </c>
      <c r="AQ1" s="94" t="s">
        <v>128</v>
      </c>
      <c r="FM1" s="75"/>
      <c r="FN1" s="76" t="s">
        <v>242</v>
      </c>
      <c r="FO1" s="76" t="s">
        <v>211</v>
      </c>
      <c r="FP1" s="76" t="s">
        <v>212</v>
      </c>
      <c r="FQ1" s="76" t="s">
        <v>30</v>
      </c>
      <c r="FR1" s="76" t="s">
        <v>133</v>
      </c>
      <c r="FS1" s="76" t="s">
        <v>220</v>
      </c>
      <c r="FT1" s="76" t="s">
        <v>144</v>
      </c>
      <c r="FU1" s="76" t="s">
        <v>146</v>
      </c>
      <c r="FV1" s="76" t="s">
        <v>147</v>
      </c>
      <c r="FW1" s="76" t="s">
        <v>148</v>
      </c>
      <c r="FX1" s="76" t="s">
        <v>45</v>
      </c>
      <c r="FY1" s="76" t="s">
        <v>50</v>
      </c>
    </row>
    <row r="2" spans="1:181" s="83" customFormat="1" ht="29.25" customHeight="1" x14ac:dyDescent="0.2">
      <c r="A2" s="555"/>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7"/>
      <c r="AP2" s="94" t="s">
        <v>2</v>
      </c>
      <c r="AQ2" s="95">
        <v>6</v>
      </c>
      <c r="FM2" s="96"/>
      <c r="FN2" s="77" t="s">
        <v>248</v>
      </c>
      <c r="FO2" s="77" t="s">
        <v>149</v>
      </c>
      <c r="FP2" s="78" t="s">
        <v>150</v>
      </c>
      <c r="FQ2" s="79" t="s">
        <v>258</v>
      </c>
      <c r="FR2" s="78" t="s">
        <v>237</v>
      </c>
      <c r="FS2" s="78" t="s">
        <v>152</v>
      </c>
      <c r="FT2" s="78" t="s">
        <v>171</v>
      </c>
      <c r="FU2" s="77" t="s">
        <v>154</v>
      </c>
      <c r="FV2" s="78" t="s">
        <v>155</v>
      </c>
      <c r="FW2" s="78" t="s">
        <v>156</v>
      </c>
      <c r="FX2" s="78" t="s">
        <v>111</v>
      </c>
      <c r="FY2" s="78" t="s">
        <v>259</v>
      </c>
    </row>
    <row r="3" spans="1:181" s="83" customFormat="1" ht="37.5" customHeight="1" x14ac:dyDescent="0.2">
      <c r="A3" s="558"/>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60"/>
      <c r="AP3" s="97" t="s">
        <v>3</v>
      </c>
      <c r="AQ3" s="94"/>
      <c r="FM3" s="96"/>
      <c r="FN3" s="77" t="s">
        <v>260</v>
      </c>
      <c r="FO3" s="77" t="s">
        <v>261</v>
      </c>
      <c r="FP3" s="78" t="s">
        <v>262</v>
      </c>
      <c r="FQ3" s="80" t="s">
        <v>263</v>
      </c>
      <c r="FR3" s="78" t="s">
        <v>242</v>
      </c>
      <c r="FS3" s="78" t="s">
        <v>202</v>
      </c>
      <c r="FT3" s="78" t="s">
        <v>153</v>
      </c>
      <c r="FU3" s="78" t="s">
        <v>161</v>
      </c>
      <c r="FV3" s="78" t="s">
        <v>164</v>
      </c>
      <c r="FW3" s="78" t="s">
        <v>165</v>
      </c>
      <c r="FX3" s="78" t="s">
        <v>264</v>
      </c>
      <c r="FY3" s="78" t="s">
        <v>81</v>
      </c>
    </row>
    <row r="4" spans="1:181" s="83" customFormat="1" ht="23.25" customHeight="1" x14ac:dyDescent="0.2">
      <c r="A4" s="564" t="s">
        <v>4</v>
      </c>
      <c r="B4" s="565"/>
      <c r="C4" s="565"/>
      <c r="D4" s="565"/>
      <c r="E4" s="565"/>
      <c r="F4" s="565"/>
      <c r="G4" s="565"/>
      <c r="H4" s="565"/>
      <c r="I4" s="565"/>
      <c r="J4" s="566"/>
      <c r="K4" s="564" t="s">
        <v>5</v>
      </c>
      <c r="L4" s="565"/>
      <c r="M4" s="565"/>
      <c r="N4" s="565"/>
      <c r="O4" s="565"/>
      <c r="P4" s="566"/>
      <c r="Q4" s="564" t="s">
        <v>129</v>
      </c>
      <c r="R4" s="565"/>
      <c r="S4" s="565"/>
      <c r="T4" s="565"/>
      <c r="U4" s="565"/>
      <c r="V4" s="565"/>
      <c r="W4" s="565"/>
      <c r="X4" s="565"/>
      <c r="Y4" s="566"/>
      <c r="Z4" s="564" t="s">
        <v>130</v>
      </c>
      <c r="AA4" s="565"/>
      <c r="AB4" s="565"/>
      <c r="AC4" s="565"/>
      <c r="AD4" s="565"/>
      <c r="AE4" s="565"/>
      <c r="AF4" s="565"/>
      <c r="AG4" s="565"/>
      <c r="AH4" s="565"/>
      <c r="AI4" s="566"/>
      <c r="AJ4" s="564" t="s">
        <v>19</v>
      </c>
      <c r="AK4" s="565"/>
      <c r="AL4" s="565"/>
      <c r="AM4" s="565"/>
      <c r="AN4" s="565"/>
      <c r="AO4" s="565"/>
      <c r="AP4" s="565"/>
      <c r="AQ4" s="566"/>
      <c r="FM4" s="96"/>
      <c r="FN4" s="77" t="s">
        <v>233</v>
      </c>
      <c r="FO4" s="77" t="s">
        <v>265</v>
      </c>
      <c r="FP4" s="78" t="s">
        <v>266</v>
      </c>
      <c r="FQ4" s="78" t="s">
        <v>163</v>
      </c>
      <c r="FR4" s="78"/>
      <c r="FS4" s="78" t="s">
        <v>174</v>
      </c>
      <c r="FT4" s="77"/>
      <c r="FU4" s="77"/>
      <c r="FV4" s="77"/>
      <c r="FW4" s="77"/>
      <c r="FX4" s="78" t="s">
        <v>91</v>
      </c>
      <c r="FY4" s="77"/>
    </row>
    <row r="5" spans="1:181" s="83" customFormat="1" ht="23.25" customHeight="1" x14ac:dyDescent="0.2">
      <c r="A5" s="107" t="s">
        <v>205</v>
      </c>
      <c r="B5" s="107" t="s">
        <v>206</v>
      </c>
      <c r="C5" s="107" t="s">
        <v>207</v>
      </c>
      <c r="D5" s="107" t="s">
        <v>208</v>
      </c>
      <c r="E5" s="107" t="s">
        <v>209</v>
      </c>
      <c r="F5" s="107" t="s">
        <v>210</v>
      </c>
      <c r="G5" s="107" t="s">
        <v>211</v>
      </c>
      <c r="H5" s="107" t="s">
        <v>212</v>
      </c>
      <c r="I5" s="107" t="s">
        <v>213</v>
      </c>
      <c r="J5" s="174" t="s">
        <v>214</v>
      </c>
      <c r="K5" s="174" t="s">
        <v>215</v>
      </c>
      <c r="L5" s="174" t="s">
        <v>29</v>
      </c>
      <c r="M5" s="174" t="s">
        <v>30</v>
      </c>
      <c r="N5" s="174" t="s">
        <v>216</v>
      </c>
      <c r="O5" s="174" t="s">
        <v>29</v>
      </c>
      <c r="P5" s="174" t="s">
        <v>217</v>
      </c>
      <c r="Q5" s="174" t="s">
        <v>218</v>
      </c>
      <c r="R5" s="174" t="s">
        <v>219</v>
      </c>
      <c r="S5" s="174" t="s">
        <v>133</v>
      </c>
      <c r="T5" s="174" t="s">
        <v>220</v>
      </c>
      <c r="U5" s="174" t="s">
        <v>144</v>
      </c>
      <c r="V5" s="174" t="s">
        <v>145</v>
      </c>
      <c r="W5" s="174" t="s">
        <v>146</v>
      </c>
      <c r="X5" s="174" t="s">
        <v>147</v>
      </c>
      <c r="Y5" s="174" t="s">
        <v>148</v>
      </c>
      <c r="Z5" s="108" t="s">
        <v>221</v>
      </c>
      <c r="AA5" s="561" t="s">
        <v>222</v>
      </c>
      <c r="AB5" s="562"/>
      <c r="AC5" s="563"/>
      <c r="AD5" s="174" t="s">
        <v>223</v>
      </c>
      <c r="AE5" s="561" t="s">
        <v>224</v>
      </c>
      <c r="AF5" s="562"/>
      <c r="AG5" s="563"/>
      <c r="AH5" s="174" t="s">
        <v>225</v>
      </c>
      <c r="AI5" s="107" t="s">
        <v>45</v>
      </c>
      <c r="AJ5" s="107" t="s">
        <v>226</v>
      </c>
      <c r="AK5" s="107" t="s">
        <v>46</v>
      </c>
      <c r="AL5" s="109" t="s">
        <v>227</v>
      </c>
      <c r="AM5" s="107" t="s">
        <v>228</v>
      </c>
      <c r="AN5" s="107" t="s">
        <v>229</v>
      </c>
      <c r="AO5" s="107" t="s">
        <v>50</v>
      </c>
      <c r="AP5" s="107" t="s">
        <v>230</v>
      </c>
      <c r="AQ5" s="107" t="s">
        <v>231</v>
      </c>
      <c r="FM5" s="96"/>
      <c r="FN5" s="77"/>
      <c r="FO5" s="77"/>
      <c r="FP5" s="78" t="s">
        <v>168</v>
      </c>
      <c r="FQ5" s="78" t="s">
        <v>173</v>
      </c>
      <c r="FR5" s="77"/>
      <c r="FS5" s="77"/>
      <c r="FT5" s="77"/>
      <c r="FU5" s="77"/>
      <c r="FV5" s="77"/>
      <c r="FW5" s="77"/>
      <c r="FX5" s="78" t="s">
        <v>77</v>
      </c>
      <c r="FY5" s="77"/>
    </row>
    <row r="6" spans="1:181" s="83" customFormat="1" ht="15" customHeight="1" x14ac:dyDescent="0.2">
      <c r="A6" s="547">
        <v>1</v>
      </c>
      <c r="B6" s="110" t="s">
        <v>232</v>
      </c>
      <c r="C6" s="205" t="s">
        <v>233</v>
      </c>
      <c r="D6" s="539" t="s">
        <v>271</v>
      </c>
      <c r="E6" s="539" t="s">
        <v>272</v>
      </c>
      <c r="F6" s="539" t="s">
        <v>234</v>
      </c>
      <c r="G6" s="543" t="s">
        <v>149</v>
      </c>
      <c r="H6" s="205" t="s">
        <v>150</v>
      </c>
      <c r="I6" s="539" t="s">
        <v>151</v>
      </c>
      <c r="J6" s="539">
        <v>2</v>
      </c>
      <c r="K6" s="474" t="str">
        <f>IF(AND(J6&lt;=2),"Muy Baja",IF(AND(J6&gt;=3,J6&lt;=23),"Baja",IF(AND(J6&gt;=24,J6&lt;=499),"Media",IF(AND(J6&gt;=500,J6&lt;=4999),"Alta",IF(AND(J6&gt;=5000),"Muy Alta",FALSE)))))</f>
        <v>Muy Baja</v>
      </c>
      <c r="L6" s="474" t="str">
        <f>IF(AND(J6&lt;=2),"20%",IF(AND(J6&gt;=3,J6&lt;=23),"40%",IF(AND(J6&gt;=24,J6&lt;=499),"60%",IF(AND(J6&gt;=500,J6&lt;=4999),"80%",IF(AND(J6&gt;=5000),"100%",FALSE)))))</f>
        <v>20%</v>
      </c>
      <c r="M6" s="474" t="s">
        <v>235</v>
      </c>
      <c r="N6" s="474" t="str">
        <f>IF(AND(M6=$FQ$4),"Leve",IF(AND(M6=$FQ$5),"Menor",IF(AND(M6=$FQ$6),"Moderado",IF(AND(M6=$FQ$7),"mayor",IF(AND(M6=$FQ$8),"Catastrófico",IF(AND(M6=$FQ$10),"Leve",IF(AND(M6=$FQ$11),"Menor",IF(AND(M6=$FQ$12),"Moderado",IF(AND(M6=$FQ$13),"Mayor",IF(AND(M6=$FQ$14),"Catastrófico",FALSE))))))))))</f>
        <v>Catastrófico</v>
      </c>
      <c r="O6" s="480" t="str">
        <f>IF(AND(N6="Leve"),"20%",IF(AND(N6="Menor"),"40%",IF(AND(N6="Moderado"),"60%",IF(AND(N6="Mayor"),"80%",IF(AND(N6="Catastrófico"),"100%","")))))</f>
        <v>100%</v>
      </c>
      <c r="P6" s="474" t="str">
        <f>INDEX('[1]MATRIZ RIESGO'!$D$6:$H$10,MATCH(K6,'[1]MATRIZ RIESGO'!$C$6:$C$10,),MATCH(N6,'[1]MATRIZ RIESGO'!$D$5:$H$5,))</f>
        <v>Extremo</v>
      </c>
      <c r="Q6" s="110">
        <v>1</v>
      </c>
      <c r="R6" s="110" t="s">
        <v>236</v>
      </c>
      <c r="S6" s="176" t="s">
        <v>237</v>
      </c>
      <c r="T6" s="176" t="s">
        <v>152</v>
      </c>
      <c r="U6" s="176" t="s">
        <v>153</v>
      </c>
      <c r="V6" s="176" t="str">
        <f t="shared" ref="V6:V13" si="0">IF(AND(T6=$FS$2,U6=$FT$2),"50%",IF(AND(T6=$FS$2,U6=$FT$3),"40%",IF(AND(T6=$FS$3,U6=$FT$2),"40%",IF(AND(T6=$FS$3,U6=$FT$3),"30%",IF(AND(T6=$FS$4,U6=$FT$2),"35%",IF(AND(T6=$FS$4,U6=$FT$3),"25%",""))))))</f>
        <v>40%</v>
      </c>
      <c r="W6" s="176" t="s">
        <v>154</v>
      </c>
      <c r="X6" s="176" t="s">
        <v>155</v>
      </c>
      <c r="Y6" s="176" t="s">
        <v>156</v>
      </c>
      <c r="Z6" s="129">
        <f>IFERROR(IF(S6="Probabilidad",(L6-(+L6*V6)),IF(S6="Impacto",L6,"")),"")</f>
        <v>0.12</v>
      </c>
      <c r="AA6" s="477">
        <f>LOOKUP(2,1/(Z6:Z11&lt;&gt;""),Z6:Z11)</f>
        <v>4.3199999999999995E-2</v>
      </c>
      <c r="AB6" s="477">
        <f>AA6*1</f>
        <v>4.3199999999999995E-2</v>
      </c>
      <c r="AC6" s="474" t="str">
        <f>IF(AND(AB6&lt;=20%),"Muy Baja",IF(AND(AB6&gt;=21%,AB6&lt;=40%),"Baja",IF(AND(AB6&gt;=41%,AB6&lt;=60%),"Media",IF(AND(AB6&gt;=61%,AB6&lt;=80%),"Alta",IF(AND(AB6&gt;=81%,AB6&gt;=100%),"Muy Alta",FALSE)))))</f>
        <v>Muy Baja</v>
      </c>
      <c r="AD6" s="177" t="str">
        <f>IFERROR(IF(S6="Impacto",(O6-(+O6*V6)),IF(S6="Probabilidad",O6,"")),"")</f>
        <v>100%</v>
      </c>
      <c r="AE6" s="477" t="str">
        <f>LOOKUP(2,1/(AD6:AD11&lt;&gt;""),AD6:AD11)</f>
        <v>100%</v>
      </c>
      <c r="AF6" s="477">
        <f>AE6*1</f>
        <v>1</v>
      </c>
      <c r="AG6" s="474" t="str">
        <f>CHOOSE((AF6&gt;=0%)+(AF6&gt;=21%)+(AF6&gt;=41%)+(AF6&gt;=61%)+(AF6&gt;=81%),"Leve","Menor","Moderado","Mayor","Catastrófico")</f>
        <v>Catastrófico</v>
      </c>
      <c r="AH6" s="474" t="str">
        <f>INDEX('[1]MATRIZ RIESGO'!$D$6:$H$10,MATCH(AC6,'[1]MATRIZ RIESGO'!$C$6:$C$10,),MATCH(AG6,'[1]MATRIZ RIESGO'!$D$5:$H$5,))</f>
        <v>Extremo</v>
      </c>
      <c r="AI6" s="205" t="s">
        <v>77</v>
      </c>
      <c r="AJ6" s="110"/>
      <c r="AK6" s="110"/>
      <c r="AL6" s="111"/>
      <c r="AM6" s="112"/>
      <c r="AN6" s="110"/>
      <c r="AO6" s="110"/>
      <c r="AP6" s="496" t="s">
        <v>239</v>
      </c>
      <c r="AQ6" s="539" t="s">
        <v>113</v>
      </c>
      <c r="FM6" s="96"/>
      <c r="FN6" s="77"/>
      <c r="FO6" s="77"/>
      <c r="FP6" s="78" t="s">
        <v>267</v>
      </c>
      <c r="FQ6" s="78" t="s">
        <v>186</v>
      </c>
      <c r="FR6" s="77"/>
      <c r="FS6" s="77"/>
      <c r="FT6" s="78"/>
      <c r="FU6" s="77"/>
      <c r="FV6" s="77"/>
      <c r="FW6" s="77"/>
      <c r="FX6" s="77"/>
      <c r="FY6" s="77"/>
    </row>
    <row r="7" spans="1:181" s="83" customFormat="1" ht="15" customHeight="1" x14ac:dyDescent="0.2">
      <c r="A7" s="548"/>
      <c r="B7" s="110" t="s">
        <v>232</v>
      </c>
      <c r="C7" s="206"/>
      <c r="D7" s="537"/>
      <c r="E7" s="537"/>
      <c r="F7" s="537"/>
      <c r="G7" s="544"/>
      <c r="H7" s="206"/>
      <c r="I7" s="537"/>
      <c r="J7" s="537"/>
      <c r="K7" s="475"/>
      <c r="L7" s="475"/>
      <c r="M7" s="475"/>
      <c r="N7" s="475"/>
      <c r="O7" s="481"/>
      <c r="P7" s="475"/>
      <c r="Q7" s="110">
        <v>2</v>
      </c>
      <c r="R7" s="110" t="s">
        <v>85</v>
      </c>
      <c r="S7" s="176" t="s">
        <v>237</v>
      </c>
      <c r="T7" s="176" t="s">
        <v>152</v>
      </c>
      <c r="U7" s="176" t="s">
        <v>153</v>
      </c>
      <c r="V7" s="176" t="str">
        <f t="shared" si="0"/>
        <v>40%</v>
      </c>
      <c r="W7" s="176" t="s">
        <v>154</v>
      </c>
      <c r="X7" s="176" t="s">
        <v>155</v>
      </c>
      <c r="Y7" s="176" t="s">
        <v>156</v>
      </c>
      <c r="Z7" s="129">
        <f>IFERROR(IF(AND(S6="Probabilidad",S7="Probabilidad"),(Z6-(+Z6*V7)),IF(S7="Probabilidad",(L6-(+L6*V7)),IF(S7="Impacto",Z6,""))),"")</f>
        <v>7.1999999999999995E-2</v>
      </c>
      <c r="AA7" s="478"/>
      <c r="AB7" s="478"/>
      <c r="AC7" s="475"/>
      <c r="AD7" s="177" t="str">
        <f>IFERROR(IF(AND(S6="Impacto",V7="Impacto"),(AD6-(+AD6*V7)),IF(S7="Impacto",(O6-(+O6*V7)),IF(S7="Probabilidad",AD6,""))),"")</f>
        <v>100%</v>
      </c>
      <c r="AE7" s="478"/>
      <c r="AF7" s="478"/>
      <c r="AG7" s="475"/>
      <c r="AH7" s="475"/>
      <c r="AI7" s="206"/>
      <c r="AJ7" s="110"/>
      <c r="AK7" s="110"/>
      <c r="AL7" s="111"/>
      <c r="AM7" s="110"/>
      <c r="AN7" s="110"/>
      <c r="AO7" s="110"/>
      <c r="AP7" s="497"/>
      <c r="AQ7" s="537"/>
      <c r="FM7" s="96"/>
      <c r="FN7" s="77"/>
      <c r="FO7" s="77"/>
      <c r="FP7" s="78" t="s">
        <v>268</v>
      </c>
      <c r="FQ7" s="78" t="s">
        <v>269</v>
      </c>
      <c r="FR7" s="77"/>
      <c r="FS7" s="77"/>
      <c r="FT7" s="78"/>
      <c r="FU7" s="77"/>
      <c r="FV7" s="77"/>
      <c r="FW7" s="77"/>
      <c r="FX7" s="77"/>
      <c r="FY7" s="77"/>
    </row>
    <row r="8" spans="1:181" s="76" customFormat="1" ht="15" customHeight="1" x14ac:dyDescent="0.2">
      <c r="A8" s="548"/>
      <c r="B8" s="110" t="s">
        <v>232</v>
      </c>
      <c r="C8" s="206"/>
      <c r="D8" s="537"/>
      <c r="E8" s="537"/>
      <c r="F8" s="537"/>
      <c r="G8" s="544"/>
      <c r="H8" s="206"/>
      <c r="I8" s="537"/>
      <c r="J8" s="537"/>
      <c r="K8" s="475"/>
      <c r="L8" s="475"/>
      <c r="M8" s="475"/>
      <c r="N8" s="475"/>
      <c r="O8" s="481"/>
      <c r="P8" s="475"/>
      <c r="Q8" s="110">
        <v>3</v>
      </c>
      <c r="R8" s="110" t="s">
        <v>86</v>
      </c>
      <c r="S8" s="176" t="s">
        <v>237</v>
      </c>
      <c r="T8" s="176" t="s">
        <v>152</v>
      </c>
      <c r="U8" s="176" t="s">
        <v>153</v>
      </c>
      <c r="V8" s="176" t="str">
        <f t="shared" si="0"/>
        <v>40%</v>
      </c>
      <c r="W8" s="176" t="s">
        <v>154</v>
      </c>
      <c r="X8" s="176" t="s">
        <v>155</v>
      </c>
      <c r="Y8" s="176" t="s">
        <v>156</v>
      </c>
      <c r="Z8" s="129">
        <f>IFERROR(IF(AND(S7="Probabilidad",S8="Probabilidad"),(Z7-(+Z7*V8)),IF(S8="Probabilidad",(L7-(+L7*V8)),IF(S8="Impacto",Z7,""))),"")</f>
        <v>4.3199999999999995E-2</v>
      </c>
      <c r="AA8" s="478"/>
      <c r="AB8" s="478"/>
      <c r="AC8" s="475"/>
      <c r="AD8" s="177" t="str">
        <f>IFERROR(IF(AND(S7="Impacto",V8="Impacto"),(AD7-(+AD7*V8)),IF(S8="Impacto",(O7-(+O7*V8)),IF(S8="Probabilidad",AD7,""))),"")</f>
        <v>100%</v>
      </c>
      <c r="AE8" s="478"/>
      <c r="AF8" s="478"/>
      <c r="AG8" s="475"/>
      <c r="AH8" s="475"/>
      <c r="AI8" s="206"/>
      <c r="AJ8" s="110"/>
      <c r="AK8" s="110"/>
      <c r="AL8" s="111"/>
      <c r="AM8" s="110"/>
      <c r="AN8" s="110"/>
      <c r="AO8" s="110"/>
      <c r="AP8" s="497"/>
      <c r="AQ8" s="537"/>
      <c r="FM8" s="96"/>
      <c r="FN8" s="77"/>
      <c r="FO8" s="77"/>
      <c r="FP8" s="78" t="s">
        <v>270</v>
      </c>
      <c r="FQ8" s="87" t="s">
        <v>235</v>
      </c>
      <c r="FR8" s="78"/>
      <c r="FS8" s="78"/>
      <c r="FT8" s="78"/>
      <c r="FU8" s="77"/>
      <c r="FV8" s="78"/>
      <c r="FW8" s="78"/>
      <c r="FX8" s="78"/>
      <c r="FY8" s="78"/>
    </row>
    <row r="9" spans="1:181" s="78" customFormat="1" ht="15" customHeight="1" x14ac:dyDescent="0.25">
      <c r="A9" s="548"/>
      <c r="B9" s="110" t="s">
        <v>232</v>
      </c>
      <c r="C9" s="206"/>
      <c r="D9" s="537"/>
      <c r="E9" s="537"/>
      <c r="F9" s="537"/>
      <c r="G9" s="544"/>
      <c r="H9" s="206"/>
      <c r="I9" s="537"/>
      <c r="J9" s="537"/>
      <c r="K9" s="475"/>
      <c r="L9" s="475"/>
      <c r="M9" s="475"/>
      <c r="N9" s="475"/>
      <c r="O9" s="481"/>
      <c r="P9" s="475"/>
      <c r="Q9" s="110"/>
      <c r="R9" s="110"/>
      <c r="S9" s="176"/>
      <c r="T9" s="176"/>
      <c r="U9" s="176"/>
      <c r="V9" s="176" t="str">
        <f t="shared" si="0"/>
        <v/>
      </c>
      <c r="W9" s="176"/>
      <c r="X9" s="176"/>
      <c r="Y9" s="176"/>
      <c r="Z9" s="129" t="str">
        <f>IFERROR(IF(AND(S8="Probabilidad",S9="Probabilidad"),(Z8-(+Z8*V9)),IF(S9="Probabilidad",(L8-(+L8*V9)),IF(S9="Impacto",Z8,""))),"")</f>
        <v/>
      </c>
      <c r="AA9" s="478"/>
      <c r="AB9" s="478"/>
      <c r="AC9" s="475"/>
      <c r="AD9" s="177" t="str">
        <f>IFERROR(IF(AND(S8="Impacto",V9="Impacto"),(AD8-(+AD8*V9)),IF(S9="Impacto",(O8-(+O8*V9)),IF(S9="Probabilidad",AD8,""))),"")</f>
        <v/>
      </c>
      <c r="AE9" s="478"/>
      <c r="AF9" s="478"/>
      <c r="AG9" s="475"/>
      <c r="AH9" s="475"/>
      <c r="AI9" s="206"/>
      <c r="AJ9" s="110"/>
      <c r="AK9" s="110"/>
      <c r="AL9" s="111"/>
      <c r="AM9" s="110"/>
      <c r="AN9" s="110"/>
      <c r="AO9" s="110"/>
      <c r="AP9" s="497"/>
      <c r="AQ9" s="537"/>
      <c r="FM9" s="89"/>
      <c r="FP9" s="78" t="s">
        <v>255</v>
      </c>
      <c r="FQ9" s="80" t="s">
        <v>256</v>
      </c>
    </row>
    <row r="10" spans="1:181" s="78" customFormat="1" ht="13.5" customHeight="1" x14ac:dyDescent="0.2">
      <c r="A10" s="548"/>
      <c r="B10" s="110" t="s">
        <v>232</v>
      </c>
      <c r="C10" s="206"/>
      <c r="D10" s="537"/>
      <c r="E10" s="537"/>
      <c r="F10" s="537"/>
      <c r="G10" s="544"/>
      <c r="H10" s="206"/>
      <c r="I10" s="537"/>
      <c r="J10" s="537"/>
      <c r="K10" s="475"/>
      <c r="L10" s="475"/>
      <c r="M10" s="475"/>
      <c r="N10" s="475"/>
      <c r="O10" s="481"/>
      <c r="P10" s="475"/>
      <c r="Q10" s="110"/>
      <c r="R10" s="110"/>
      <c r="S10" s="176"/>
      <c r="T10" s="176"/>
      <c r="U10" s="176"/>
      <c r="V10" s="176" t="str">
        <f t="shared" si="0"/>
        <v/>
      </c>
      <c r="W10" s="176"/>
      <c r="X10" s="176"/>
      <c r="Y10" s="176"/>
      <c r="Z10" s="129" t="str">
        <f>IFERROR(IF(AND(S9="Probabilidad",S10="Probabilidad"),(Z9-(+Z9*V10)),IF(S10="Probabilidad",(L9-(+L9*V10)),IF(S10="Impacto",Z9,""))),"")</f>
        <v/>
      </c>
      <c r="AA10" s="478"/>
      <c r="AB10" s="478"/>
      <c r="AC10" s="475"/>
      <c r="AD10" s="177" t="str">
        <f>IFERROR(IF(AND(S9="Impacto",V10="Impacto"),(AD9-(+AD9*V10)),IF(S10="Impacto",(O9-(+O9*V10)),IF(S10="Probabilidad",AD9,""))),"")</f>
        <v/>
      </c>
      <c r="AE10" s="478"/>
      <c r="AF10" s="478"/>
      <c r="AG10" s="475"/>
      <c r="AH10" s="475"/>
      <c r="AI10" s="206"/>
      <c r="AJ10" s="110"/>
      <c r="AK10" s="110"/>
      <c r="AL10" s="111"/>
      <c r="AM10" s="110"/>
      <c r="AN10" s="110"/>
      <c r="AO10" s="110"/>
      <c r="AP10" s="497"/>
      <c r="AQ10" s="537"/>
      <c r="FM10" s="89"/>
      <c r="FP10" s="78" t="s">
        <v>196</v>
      </c>
      <c r="FQ10" s="87" t="s">
        <v>158</v>
      </c>
    </row>
    <row r="11" spans="1:181" s="78" customFormat="1" ht="13.5" customHeight="1" x14ac:dyDescent="0.2">
      <c r="A11" s="550"/>
      <c r="B11" s="110" t="s">
        <v>232</v>
      </c>
      <c r="C11" s="207"/>
      <c r="D11" s="538"/>
      <c r="E11" s="538"/>
      <c r="F11" s="538"/>
      <c r="G11" s="551"/>
      <c r="H11" s="207"/>
      <c r="I11" s="538"/>
      <c r="J11" s="538"/>
      <c r="K11" s="486"/>
      <c r="L11" s="486"/>
      <c r="M11" s="486"/>
      <c r="N11" s="486"/>
      <c r="O11" s="491"/>
      <c r="P11" s="486"/>
      <c r="Q11" s="110"/>
      <c r="R11" s="110"/>
      <c r="S11" s="176"/>
      <c r="T11" s="176"/>
      <c r="U11" s="176"/>
      <c r="V11" s="176" t="str">
        <f t="shared" si="0"/>
        <v/>
      </c>
      <c r="W11" s="176"/>
      <c r="X11" s="176"/>
      <c r="Y11" s="176"/>
      <c r="Z11" s="129" t="str">
        <f>IFERROR(IF(AND(S10="Probabilidad",S11="Probabilidad"),(Z10-(+Z10*V11)),IF(S11="Probabilidad",(L10-(+L10*V11)),IF(S11="Impacto",Z10,""))),"")</f>
        <v/>
      </c>
      <c r="AA11" s="489"/>
      <c r="AB11" s="489"/>
      <c r="AC11" s="486"/>
      <c r="AD11" s="177" t="str">
        <f>IFERROR(IF(AND(S10="Impacto",V11="Impacto"),(AD10-(+AD10*V11)),IF(S11="Impacto",(O10-(+O10*V11)),IF(S11="Probabilidad",AD10,""))),"")</f>
        <v/>
      </c>
      <c r="AE11" s="489"/>
      <c r="AF11" s="489"/>
      <c r="AG11" s="486"/>
      <c r="AH11" s="486"/>
      <c r="AI11" s="207"/>
      <c r="AJ11" s="110"/>
      <c r="AK11" s="110"/>
      <c r="AL11" s="111"/>
      <c r="AM11" s="110"/>
      <c r="AN11" s="110"/>
      <c r="AO11" s="110"/>
      <c r="AP11" s="498"/>
      <c r="AQ11" s="538"/>
      <c r="FM11" s="89"/>
      <c r="FQ11" s="87" t="s">
        <v>160</v>
      </c>
    </row>
    <row r="12" spans="1:181" s="78" customFormat="1" ht="13.5" customHeight="1" x14ac:dyDescent="0.2">
      <c r="A12" s="547">
        <v>2</v>
      </c>
      <c r="B12" s="110" t="s">
        <v>232</v>
      </c>
      <c r="C12" s="205" t="s">
        <v>233</v>
      </c>
      <c r="D12" s="539" t="s">
        <v>273</v>
      </c>
      <c r="E12" s="539" t="s">
        <v>274</v>
      </c>
      <c r="F12" s="539" t="s">
        <v>240</v>
      </c>
      <c r="G12" s="543" t="s">
        <v>149</v>
      </c>
      <c r="H12" s="205" t="s">
        <v>150</v>
      </c>
      <c r="I12" s="539" t="s">
        <v>151</v>
      </c>
      <c r="J12" s="539">
        <v>2</v>
      </c>
      <c r="K12" s="474" t="str">
        <f>IF(AND(J12&lt;=2),"Muy Baja",IF(AND(J12&gt;=3,J12&lt;=23),"Baja",IF(AND(J12&gt;=24,J12&lt;=499),"Media",IF(AND(J12&gt;=500,J12&lt;=4999),"Alta",IF(AND(J12&gt;=5000),"Muy Alta",FALSE)))))</f>
        <v>Muy Baja</v>
      </c>
      <c r="L12" s="474" t="str">
        <f>IF(AND(J12&lt;=2),"20%",IF(AND(J12&gt;=3,J12&lt;=23),"40%",IF(AND(J12&gt;=24,J12&lt;=499),"60%",IF(AND(J12&gt;=500,J12&lt;=4999),"80%",IF(AND(J12&gt;=5000),"100%",FALSE)))))</f>
        <v>20%</v>
      </c>
      <c r="M12" s="474" t="s">
        <v>235</v>
      </c>
      <c r="N12" s="474" t="str">
        <f>IF(AND(M12=$FQ$4),"Leve",IF(AND(M12=$FQ$5),"Menor",IF(AND(M12=$FQ$6),"Moderado",IF(AND(M12=$FQ$7),"mayor",IF(AND(M12=$FQ$8),"Catastrófico",IF(AND(M12=$FQ$10),"Leve",IF(AND(M12=$FQ$11),"Menor",IF(AND(M12=$FQ$12),"Moderado",IF(AND(M12=$FQ$13),"Mayor",IF(AND(M12=$FQ$14),"Catastrófico",FALSE))))))))))</f>
        <v>Catastrófico</v>
      </c>
      <c r="O12" s="480" t="str">
        <f>IF(AND(N12="Leve"),"20%",IF(AND(N12="Menor"),"40%",IF(AND(N12="Moderado"),"60%",IF(AND(N12="Mayor"),"80%",IF(AND(N12="Catastrófico"),"100%","")))))</f>
        <v>100%</v>
      </c>
      <c r="P12" s="474" t="str">
        <f>INDEX('[1]MATRIZ RIESGO'!$D$6:$H$10,MATCH(K12,'[1]MATRIZ RIESGO'!$C$6:$C$10,),MATCH(N12,'[1]MATRIZ RIESGO'!$D$5:$H$5,))</f>
        <v>Extremo</v>
      </c>
      <c r="Q12" s="110">
        <v>1</v>
      </c>
      <c r="R12" s="110" t="s">
        <v>241</v>
      </c>
      <c r="S12" s="176" t="s">
        <v>242</v>
      </c>
      <c r="T12" s="176" t="s">
        <v>174</v>
      </c>
      <c r="U12" s="176" t="s">
        <v>153</v>
      </c>
      <c r="V12" s="176" t="str">
        <f t="shared" si="0"/>
        <v>25%</v>
      </c>
      <c r="W12" s="176" t="s">
        <v>154</v>
      </c>
      <c r="X12" s="176" t="s">
        <v>155</v>
      </c>
      <c r="Y12" s="176" t="s">
        <v>156</v>
      </c>
      <c r="Z12" s="129" t="str">
        <f>IFERROR(IF(S12="Probabilidad",(L12-(+L12*V12)),IF(S12="Impacto",L12,"")),"")</f>
        <v>20%</v>
      </c>
      <c r="AA12" s="477">
        <f>LOOKUP(2,1/(Z12:Z17&lt;&gt;""),Z12:Z17)</f>
        <v>0.12</v>
      </c>
      <c r="AB12" s="477">
        <f>AA12*1</f>
        <v>0.12</v>
      </c>
      <c r="AC12" s="474" t="str">
        <f>IF(AND(AB12&lt;=20%),"Muy Baja",IF(AND(AB12&gt;=21%,AB12&lt;=40%),"Baja",IF(AND(AB12&gt;=41%,AB12&lt;=60%),"Media",IF(AND(AB12&gt;=61%,AB12&lt;=80%),"Alta",IF(AND(AB12&gt;=81%,AB12&gt;=100%),"Muy Alta",FALSE)))))</f>
        <v>Muy Baja</v>
      </c>
      <c r="AD12" s="177">
        <f>IFERROR(IF(S12="Impacto",(O12-(+O12*V12)),IF(S12="Probabilidad",O12,"")),"")</f>
        <v>0.75</v>
      </c>
      <c r="AE12" s="477">
        <f>LOOKUP(2,1/(AD12:AD17&lt;&gt;""),AD12:AD17)</f>
        <v>0.75</v>
      </c>
      <c r="AF12" s="477">
        <f>AE12*1</f>
        <v>0.75</v>
      </c>
      <c r="AG12" s="474" t="str">
        <f>CHOOSE((AF12&gt;=0%)+(AF12&gt;=21%)+(AF12&gt;=41%)+(AF12&gt;=61%)+(AF12&gt;=81%),"Leve","Menor","Moderado","Mayor","Catastrófico")</f>
        <v>Mayor</v>
      </c>
      <c r="AH12" s="474" t="str">
        <f>INDEX('[1]MATRIZ RIESGO'!$D$6:$H$10,MATCH(AC12,'[1]MATRIZ RIESGO'!$C$6:$C$10,),MATCH(AG12,'[1]MATRIZ RIESGO'!$D$5:$H$5,))</f>
        <v>Alto</v>
      </c>
      <c r="AI12" s="205" t="s">
        <v>77</v>
      </c>
      <c r="AJ12" s="110"/>
      <c r="AK12" s="110"/>
      <c r="AL12" s="111"/>
      <c r="AM12" s="112"/>
      <c r="AN12" s="110"/>
      <c r="AO12" s="110"/>
      <c r="AP12" s="496" t="s">
        <v>243</v>
      </c>
      <c r="AQ12" s="539" t="s">
        <v>113</v>
      </c>
      <c r="FM12" s="89"/>
      <c r="FQ12" s="87" t="s">
        <v>162</v>
      </c>
    </row>
    <row r="13" spans="1:181" s="78" customFormat="1" ht="13.5" customHeight="1" x14ac:dyDescent="0.2">
      <c r="A13" s="548"/>
      <c r="B13" s="110" t="s">
        <v>232</v>
      </c>
      <c r="C13" s="206"/>
      <c r="D13" s="537"/>
      <c r="E13" s="537"/>
      <c r="F13" s="537"/>
      <c r="G13" s="544"/>
      <c r="H13" s="206"/>
      <c r="I13" s="537"/>
      <c r="J13" s="537"/>
      <c r="K13" s="475"/>
      <c r="L13" s="475"/>
      <c r="M13" s="475"/>
      <c r="N13" s="475"/>
      <c r="O13" s="481"/>
      <c r="P13" s="475"/>
      <c r="Q13" s="110">
        <v>2</v>
      </c>
      <c r="R13" s="110" t="s">
        <v>244</v>
      </c>
      <c r="S13" s="176" t="s">
        <v>237</v>
      </c>
      <c r="T13" s="176" t="s">
        <v>152</v>
      </c>
      <c r="U13" s="176" t="s">
        <v>153</v>
      </c>
      <c r="V13" s="176" t="str">
        <f t="shared" si="0"/>
        <v>40%</v>
      </c>
      <c r="W13" s="176" t="s">
        <v>161</v>
      </c>
      <c r="X13" s="176" t="s">
        <v>155</v>
      </c>
      <c r="Y13" s="176" t="s">
        <v>156</v>
      </c>
      <c r="Z13" s="129">
        <f>IFERROR(IF(AND(S12="Probabilidad",S13="Probabilidad"),(Z12-(+Z12*V13)),IF(S13="Probabilidad",(L12-(+L12*V13)),IF(S13="Impacto",Z12,""))),"")</f>
        <v>0.12</v>
      </c>
      <c r="AA13" s="478"/>
      <c r="AB13" s="478"/>
      <c r="AC13" s="475"/>
      <c r="AD13" s="177">
        <f>IFERROR(IF(AND(S12="Impacto",V13="Impacto"),(AD12-(+AD12*V13)),IF(S13="Impacto",(O12-(+O12*V13)),IF(S13="Probabilidad",AD12,""))),"")</f>
        <v>0.75</v>
      </c>
      <c r="AE13" s="478"/>
      <c r="AF13" s="478"/>
      <c r="AG13" s="475"/>
      <c r="AH13" s="475"/>
      <c r="AI13" s="206"/>
      <c r="AJ13" s="110"/>
      <c r="AK13" s="110"/>
      <c r="AL13" s="111"/>
      <c r="AM13" s="110"/>
      <c r="AN13" s="110"/>
      <c r="AO13" s="110"/>
      <c r="AP13" s="497"/>
      <c r="AQ13" s="537"/>
      <c r="FM13" s="89"/>
      <c r="FQ13" s="87" t="s">
        <v>257</v>
      </c>
    </row>
    <row r="14" spans="1:181" s="78" customFormat="1" ht="13.5" customHeight="1" x14ac:dyDescent="0.2">
      <c r="A14" s="548"/>
      <c r="B14" s="110" t="s">
        <v>232</v>
      </c>
      <c r="C14" s="206"/>
      <c r="D14" s="537"/>
      <c r="E14" s="537"/>
      <c r="F14" s="537"/>
      <c r="G14" s="544"/>
      <c r="H14" s="206"/>
      <c r="I14" s="537"/>
      <c r="J14" s="537"/>
      <c r="K14" s="475"/>
      <c r="L14" s="475"/>
      <c r="M14" s="475"/>
      <c r="N14" s="475"/>
      <c r="O14" s="481"/>
      <c r="P14" s="475"/>
      <c r="Q14" s="110"/>
      <c r="R14" s="110"/>
      <c r="S14" s="176"/>
      <c r="T14" s="176"/>
      <c r="U14" s="176"/>
      <c r="V14" s="176"/>
      <c r="W14" s="176"/>
      <c r="X14" s="176"/>
      <c r="Y14" s="176"/>
      <c r="Z14" s="129" t="str">
        <f>IFERROR(IF(AND(S13="Probabilidad",S14="Probabilidad"),(Z13-(+Z13*V14)),IF(S14="Probabilidad",(L13-(+L13*V14)),IF(S14="Impacto",Z13,""))),"")</f>
        <v/>
      </c>
      <c r="AA14" s="478"/>
      <c r="AB14" s="478"/>
      <c r="AC14" s="475"/>
      <c r="AD14" s="177" t="str">
        <f>IFERROR(IF(AND(S13="Impacto",V14="Impacto"),(AD13-(+AD13*V14)),IF(S14="Impacto",(O13-(+O13*V14)),IF(S14="Probabilidad",AD13,""))),"")</f>
        <v/>
      </c>
      <c r="AE14" s="478"/>
      <c r="AF14" s="478"/>
      <c r="AG14" s="475"/>
      <c r="AH14" s="475"/>
      <c r="AI14" s="206"/>
      <c r="AJ14" s="110"/>
      <c r="AK14" s="110"/>
      <c r="AL14" s="111"/>
      <c r="AM14" s="110"/>
      <c r="AN14" s="110"/>
      <c r="AO14" s="110"/>
      <c r="AP14" s="497"/>
      <c r="AQ14" s="537"/>
      <c r="FM14" s="89"/>
      <c r="FQ14" s="87" t="s">
        <v>170</v>
      </c>
    </row>
    <row r="15" spans="1:181" s="78" customFormat="1" ht="13.5" customHeight="1" x14ac:dyDescent="0.25">
      <c r="A15" s="548"/>
      <c r="B15" s="110" t="s">
        <v>232</v>
      </c>
      <c r="C15" s="206"/>
      <c r="D15" s="537"/>
      <c r="E15" s="537"/>
      <c r="F15" s="537"/>
      <c r="G15" s="544"/>
      <c r="H15" s="206"/>
      <c r="I15" s="537"/>
      <c r="J15" s="537"/>
      <c r="K15" s="475"/>
      <c r="L15" s="475"/>
      <c r="M15" s="475"/>
      <c r="N15" s="475"/>
      <c r="O15" s="481"/>
      <c r="P15" s="475"/>
      <c r="Q15" s="110"/>
      <c r="R15" s="110"/>
      <c r="S15" s="176"/>
      <c r="T15" s="176"/>
      <c r="U15" s="176"/>
      <c r="V15" s="176"/>
      <c r="W15" s="176"/>
      <c r="X15" s="176"/>
      <c r="Y15" s="176"/>
      <c r="Z15" s="129" t="str">
        <f>IFERROR(IF(AND(S14="Probabilidad",S15="Probabilidad"),(Z14-(+Z14*V15)),IF(S15="Probabilidad",(L14-(+L14*V15)),IF(S15="Impacto",Z14,""))),"")</f>
        <v/>
      </c>
      <c r="AA15" s="478"/>
      <c r="AB15" s="478"/>
      <c r="AC15" s="475"/>
      <c r="AD15" s="177" t="str">
        <f>IFERROR(IF(AND(S14="Impacto",V15="Impacto"),(AD14-(+AD14*V15)),IF(S15="Impacto",(O14-(+O14*V15)),IF(S15="Probabilidad",AD14,""))),"")</f>
        <v/>
      </c>
      <c r="AE15" s="478"/>
      <c r="AF15" s="478"/>
      <c r="AG15" s="475"/>
      <c r="AH15" s="475"/>
      <c r="AI15" s="206"/>
      <c r="AJ15" s="110"/>
      <c r="AK15" s="110"/>
      <c r="AL15" s="111"/>
      <c r="AM15" s="110"/>
      <c r="AN15" s="110"/>
      <c r="AO15" s="110"/>
      <c r="AP15" s="497"/>
      <c r="AQ15" s="537"/>
      <c r="FM15" s="89"/>
      <c r="FQ15" s="80"/>
    </row>
    <row r="16" spans="1:181" s="78" customFormat="1" ht="13.5" customHeight="1" x14ac:dyDescent="0.25">
      <c r="A16" s="548"/>
      <c r="B16" s="110" t="s">
        <v>232</v>
      </c>
      <c r="C16" s="206"/>
      <c r="D16" s="537"/>
      <c r="E16" s="537"/>
      <c r="F16" s="537"/>
      <c r="G16" s="544"/>
      <c r="H16" s="206"/>
      <c r="I16" s="537"/>
      <c r="J16" s="537"/>
      <c r="K16" s="475"/>
      <c r="L16" s="475"/>
      <c r="M16" s="475"/>
      <c r="N16" s="475"/>
      <c r="O16" s="481"/>
      <c r="P16" s="475"/>
      <c r="Q16" s="110"/>
      <c r="R16" s="110"/>
      <c r="S16" s="176"/>
      <c r="T16" s="176"/>
      <c r="U16" s="176"/>
      <c r="V16" s="176" t="str">
        <f>IF(AND(T16=$FS$2,U16=$FT$2),"50%",IF(AND(T16=$FS$2,U16=$FT$3),"40%",IF(AND(T16=$FS$3,U16=$FT$2),"40%",IF(AND(T16=$FS$3,U16=$FT$3),"30%",IF(AND(T16=$FS$4,U16=$FT$2),"35%",IF(AND(T16=$FS$4,U16=$FT$3),"25%",""))))))</f>
        <v/>
      </c>
      <c r="W16" s="176"/>
      <c r="X16" s="176"/>
      <c r="Y16" s="176"/>
      <c r="Z16" s="129" t="str">
        <f>IFERROR(IF(AND(S15="Probabilidad",S16="Probabilidad"),(Z15-(+Z15*V16)),IF(S16="Probabilidad",(L15-(+L15*V16)),IF(S16="Impacto",Z15,""))),"")</f>
        <v/>
      </c>
      <c r="AA16" s="478"/>
      <c r="AB16" s="478"/>
      <c r="AC16" s="475"/>
      <c r="AD16" s="177" t="str">
        <f>IFERROR(IF(AND(S15="Impacto",V16="Impacto"),(AD15-(+AD15*V16)),IF(S16="Impacto",(O15-(+O15*V16)),IF(S16="Probabilidad",AD15,""))),"")</f>
        <v/>
      </c>
      <c r="AE16" s="478"/>
      <c r="AF16" s="478"/>
      <c r="AG16" s="475"/>
      <c r="AH16" s="475"/>
      <c r="AI16" s="206"/>
      <c r="AJ16" s="110"/>
      <c r="AK16" s="110"/>
      <c r="AL16" s="111"/>
      <c r="AM16" s="110"/>
      <c r="AN16" s="110"/>
      <c r="AO16" s="110"/>
      <c r="AP16" s="497"/>
      <c r="AQ16" s="537"/>
      <c r="FM16" s="89"/>
    </row>
    <row r="17" spans="1:173" s="78" customFormat="1" ht="13.5" customHeight="1" x14ac:dyDescent="0.25">
      <c r="A17" s="550"/>
      <c r="B17" s="110" t="s">
        <v>232</v>
      </c>
      <c r="C17" s="207"/>
      <c r="D17" s="538"/>
      <c r="E17" s="538"/>
      <c r="F17" s="538"/>
      <c r="G17" s="551"/>
      <c r="H17" s="207"/>
      <c r="I17" s="538"/>
      <c r="J17" s="538"/>
      <c r="K17" s="486"/>
      <c r="L17" s="486"/>
      <c r="M17" s="486"/>
      <c r="N17" s="486"/>
      <c r="O17" s="491"/>
      <c r="P17" s="486"/>
      <c r="Q17" s="110"/>
      <c r="R17" s="110"/>
      <c r="S17" s="176"/>
      <c r="T17" s="176"/>
      <c r="U17" s="176"/>
      <c r="V17" s="176" t="str">
        <f>IF(AND(T17=$FS$2,U17=$FT$2),"50%",IF(AND(T17=$FS$2,U17=$FT$3),"40%",IF(AND(T17=$FS$3,U17=$FT$2),"40%",IF(AND(T17=$FS$3,U17=$FT$3),"30%",IF(AND(T17=$FS$4,U17=$FT$2),"35%",IF(AND(T17=$FS$4,U17=$FT$3),"25%",""))))))</f>
        <v/>
      </c>
      <c r="W17" s="176"/>
      <c r="X17" s="176"/>
      <c r="Y17" s="176"/>
      <c r="Z17" s="129" t="str">
        <f>IFERROR(IF(AND(S16="Probabilidad",S17="Probabilidad"),(Z16-(+Z16*V17)),IF(S17="Probabilidad",(L16-(+L16*V17)),IF(S17="Impacto",Z16,""))),"")</f>
        <v/>
      </c>
      <c r="AA17" s="489"/>
      <c r="AB17" s="489"/>
      <c r="AC17" s="486"/>
      <c r="AD17" s="177" t="str">
        <f>IFERROR(IF(AND(S16="Impacto",V17="Impacto"),(AD16-(+AD16*V17)),IF(S17="Impacto",(O16-(+O16*V17)),IF(S17="Probabilidad",AD16,""))),"")</f>
        <v/>
      </c>
      <c r="AE17" s="489"/>
      <c r="AF17" s="489"/>
      <c r="AG17" s="486"/>
      <c r="AH17" s="486"/>
      <c r="AI17" s="207"/>
      <c r="AJ17" s="110"/>
      <c r="AK17" s="110"/>
      <c r="AL17" s="111"/>
      <c r="AM17" s="110"/>
      <c r="AN17" s="110"/>
      <c r="AO17" s="110"/>
      <c r="AP17" s="498"/>
      <c r="AQ17" s="538"/>
      <c r="FM17" s="89"/>
    </row>
    <row r="18" spans="1:173" s="78" customFormat="1" ht="13.5" customHeight="1" x14ac:dyDescent="0.25">
      <c r="A18" s="547">
        <v>3</v>
      </c>
      <c r="B18" s="110" t="s">
        <v>232</v>
      </c>
      <c r="C18" s="205" t="s">
        <v>233</v>
      </c>
      <c r="D18" s="539" t="s">
        <v>275</v>
      </c>
      <c r="E18" s="539" t="s">
        <v>276</v>
      </c>
      <c r="F18" s="539" t="s">
        <v>245</v>
      </c>
      <c r="G18" s="543" t="s">
        <v>149</v>
      </c>
      <c r="H18" s="205" t="s">
        <v>150</v>
      </c>
      <c r="I18" s="539" t="s">
        <v>151</v>
      </c>
      <c r="J18" s="539">
        <v>2</v>
      </c>
      <c r="K18" s="474" t="str">
        <f>IF(AND(J18&lt;=2),"Muy Baja",IF(AND(J18&gt;=3,J18&lt;=23),"Baja",IF(AND(J18&gt;=24,J18&lt;=499),"Media",IF(AND(J18&gt;=500,J18&lt;=4999),"Alta",IF(AND(J18&gt;=5000),"Muy Alta",FALSE)))))</f>
        <v>Muy Baja</v>
      </c>
      <c r="L18" s="474" t="str">
        <f>IF(AND(J18&lt;=2),"20%",IF(AND(J18&gt;=3,J18&lt;=23),"40%",IF(AND(J18&gt;=24,J18&lt;=499),"60%",IF(AND(J18&gt;=500,J18&lt;=4999),"80%",IF(AND(J18&gt;=5000),"100%",FALSE)))))</f>
        <v>20%</v>
      </c>
      <c r="M18" s="474" t="s">
        <v>235</v>
      </c>
      <c r="N18" s="474" t="str">
        <f>IF(AND(M18=$FQ$4),"Leve",IF(AND(M18=$FQ$5),"Menor",IF(AND(M18=$FQ$6),"Moderado",IF(AND(M18=$FQ$7),"mayor",IF(AND(M18=$FQ$8),"Catastrófico",IF(AND(M18=$FQ$10),"Leve",IF(AND(M18=$FQ$11),"Menor",IF(AND(M18=$FQ$12),"Moderado",IF(AND(M18=$FQ$13),"Mayor",IF(AND(M18=$FQ$14),"Catastrófico",FALSE))))))))))</f>
        <v>Catastrófico</v>
      </c>
      <c r="O18" s="480" t="str">
        <f>IF(AND(N18="Leve"),"20%",IF(AND(N18="Menor"),"40%",IF(AND(N18="Moderado"),"60%",IF(AND(N18="Mayor"),"80%",IF(AND(N18="Catastrófico"),"100%","")))))</f>
        <v>100%</v>
      </c>
      <c r="P18" s="474" t="str">
        <f>INDEX('[1]MATRIZ RIESGO'!$D$6:$H$10,MATCH(K18,'[1]MATRIZ RIESGO'!$C$6:$C$10,),MATCH(N18,'[1]MATRIZ RIESGO'!$D$5:$H$5,))</f>
        <v>Extremo</v>
      </c>
      <c r="Q18" s="110">
        <v>1</v>
      </c>
      <c r="R18" s="110" t="s">
        <v>246</v>
      </c>
      <c r="S18" s="176" t="s">
        <v>237</v>
      </c>
      <c r="T18" s="176" t="s">
        <v>152</v>
      </c>
      <c r="U18" s="176" t="s">
        <v>153</v>
      </c>
      <c r="V18" s="176" t="str">
        <f>IF(AND(T18=$FS$2,U18=$FT$2),"50%",IF(AND(T18=$FS$2,U18=$FT$3),"40%",IF(AND(T18=$FS$3,U18=$FT$2),"40%",IF(AND(T18=$FS$3,U18=$FT$3),"30%",IF(AND(T18=$FS$4,U18=$FT$2),"35%",IF(AND(T18=$FS$4,U18=$FT$3),"25%",""))))))</f>
        <v>40%</v>
      </c>
      <c r="W18" s="176" t="s">
        <v>154</v>
      </c>
      <c r="X18" s="176" t="s">
        <v>155</v>
      </c>
      <c r="Y18" s="176" t="s">
        <v>156</v>
      </c>
      <c r="Z18" s="129">
        <f>IFERROR(IF(S18="Probabilidad",(L18-(+L18*V18)),IF(S18="Impacto",L18,"")),"")</f>
        <v>0.12</v>
      </c>
      <c r="AA18" s="477">
        <f>LOOKUP(2,1/(Z18:Z23&lt;&gt;""),Z18:Z23)</f>
        <v>0.12</v>
      </c>
      <c r="AB18" s="477">
        <f>AA18*1</f>
        <v>0.12</v>
      </c>
      <c r="AC18" s="474" t="str">
        <f>IF(AND(AB18&lt;=20%),"Muy Baja",IF(AND(AB18&gt;=21%,AB18&lt;=40%),"Baja",IF(AND(AB18&gt;=41%,AB18&lt;=60%),"Media",IF(AND(AB18&gt;=61%,AB18&lt;=80%),"Alta",IF(AND(AB18&gt;=81%,AB18&gt;=100%),"Muy Alta",FALSE)))))</f>
        <v>Muy Baja</v>
      </c>
      <c r="AD18" s="177" t="str">
        <f>IFERROR(IF(S18="Impacto",(O18-(+O18*V18)),IF(S18="Probabilidad",O18,"")),"")</f>
        <v>100%</v>
      </c>
      <c r="AE18" s="477" t="str">
        <f>LOOKUP(2,1/(AD18:AD23&lt;&gt;""),AD18:AD23)</f>
        <v>100%</v>
      </c>
      <c r="AF18" s="477">
        <f>AE18*1</f>
        <v>1</v>
      </c>
      <c r="AG18" s="474" t="str">
        <f>CHOOSE((AF18&gt;=0%)+(AF18&gt;=21%)+(AF18&gt;=41%)+(AF18&gt;=61%)+(AF18&gt;=81%),"Leve","Menor","Moderado","Mayor","Catastrófico")</f>
        <v>Catastrófico</v>
      </c>
      <c r="AH18" s="474" t="str">
        <f>INDEX('[1]MATRIZ RIESGO'!$D$6:$H$10,MATCH(AC18,'[1]MATRIZ RIESGO'!$C$6:$C$10,),MATCH(AG18,'[1]MATRIZ RIESGO'!$D$5:$H$5,))</f>
        <v>Extremo</v>
      </c>
      <c r="AI18" s="205" t="s">
        <v>77</v>
      </c>
      <c r="AJ18" s="110"/>
      <c r="AK18" s="110"/>
      <c r="AL18" s="111"/>
      <c r="AM18" s="112"/>
      <c r="AN18" s="110"/>
      <c r="AO18" s="110"/>
      <c r="AP18" s="496" t="s">
        <v>247</v>
      </c>
      <c r="AQ18" s="539" t="s">
        <v>113</v>
      </c>
      <c r="FM18" s="89"/>
    </row>
    <row r="19" spans="1:173" s="78" customFormat="1" ht="13.5" customHeight="1" x14ac:dyDescent="0.25">
      <c r="A19" s="548"/>
      <c r="B19" s="110" t="s">
        <v>232</v>
      </c>
      <c r="C19" s="206"/>
      <c r="D19" s="537"/>
      <c r="E19" s="537"/>
      <c r="F19" s="537"/>
      <c r="G19" s="544"/>
      <c r="H19" s="206"/>
      <c r="I19" s="537"/>
      <c r="J19" s="537"/>
      <c r="K19" s="475"/>
      <c r="L19" s="475"/>
      <c r="M19" s="475"/>
      <c r="N19" s="475"/>
      <c r="O19" s="481"/>
      <c r="P19" s="475"/>
      <c r="Q19" s="110"/>
      <c r="R19" s="110"/>
      <c r="S19" s="176"/>
      <c r="T19" s="176"/>
      <c r="U19" s="176"/>
      <c r="V19" s="176"/>
      <c r="W19" s="176"/>
      <c r="X19" s="176"/>
      <c r="Y19" s="176"/>
      <c r="Z19" s="129" t="str">
        <f>IFERROR(IF(AND(S18="Probabilidad",S19="Probabilidad"),(Z18-(+Z18*V19)),IF(S19="Probabilidad",(L18-(+L18*V19)),IF(S19="Impacto",Z18,""))),"")</f>
        <v/>
      </c>
      <c r="AA19" s="478"/>
      <c r="AB19" s="478"/>
      <c r="AC19" s="475"/>
      <c r="AD19" s="177" t="str">
        <f>IFERROR(IF(AND(S18="Impacto",V19="Impacto"),(AD18-(+AD18*V19)),IF(S19="Impacto",(O18-(+O18*V19)),IF(S19="Probabilidad",AD18,""))),"")</f>
        <v/>
      </c>
      <c r="AE19" s="478"/>
      <c r="AF19" s="478"/>
      <c r="AG19" s="475"/>
      <c r="AH19" s="475"/>
      <c r="AI19" s="206"/>
      <c r="AJ19" s="110"/>
      <c r="AK19" s="110"/>
      <c r="AL19" s="111"/>
      <c r="AM19" s="110"/>
      <c r="AN19" s="110"/>
      <c r="AO19" s="110"/>
      <c r="AP19" s="497"/>
      <c r="AQ19" s="537"/>
      <c r="FM19" s="89"/>
    </row>
    <row r="20" spans="1:173" s="78" customFormat="1" ht="13.5" customHeight="1" x14ac:dyDescent="0.25">
      <c r="A20" s="548"/>
      <c r="B20" s="110" t="s">
        <v>232</v>
      </c>
      <c r="C20" s="206"/>
      <c r="D20" s="537"/>
      <c r="E20" s="537"/>
      <c r="F20" s="537"/>
      <c r="G20" s="544"/>
      <c r="H20" s="206"/>
      <c r="I20" s="537"/>
      <c r="J20" s="537"/>
      <c r="K20" s="475"/>
      <c r="L20" s="475"/>
      <c r="M20" s="475"/>
      <c r="N20" s="475"/>
      <c r="O20" s="481"/>
      <c r="P20" s="475"/>
      <c r="Q20" s="110"/>
      <c r="R20" s="110"/>
      <c r="S20" s="176"/>
      <c r="T20" s="176"/>
      <c r="U20" s="176"/>
      <c r="V20" s="176"/>
      <c r="W20" s="176"/>
      <c r="X20" s="176"/>
      <c r="Y20" s="176"/>
      <c r="Z20" s="129" t="str">
        <f>IFERROR(IF(AND(S19="Probabilidad",S20="Probabilidad"),(Z19-(+Z19*V20)),IF(S20="Probabilidad",(L19-(+L19*V20)),IF(S20="Impacto",Z19,""))),"")</f>
        <v/>
      </c>
      <c r="AA20" s="478"/>
      <c r="AB20" s="478"/>
      <c r="AC20" s="475"/>
      <c r="AD20" s="177" t="str">
        <f>IFERROR(IF(AND(S19="Impacto",V20="Impacto"),(AD19-(+AD19*V20)),IF(S20="Impacto",(O19-(+O19*V20)),IF(S20="Probabilidad",AD19,""))),"")</f>
        <v/>
      </c>
      <c r="AE20" s="478"/>
      <c r="AF20" s="478"/>
      <c r="AG20" s="475"/>
      <c r="AH20" s="475"/>
      <c r="AI20" s="206"/>
      <c r="AJ20" s="110"/>
      <c r="AK20" s="110"/>
      <c r="AL20" s="111"/>
      <c r="AM20" s="110"/>
      <c r="AN20" s="110"/>
      <c r="AO20" s="110"/>
      <c r="AP20" s="497"/>
      <c r="AQ20" s="537"/>
      <c r="FM20" s="89"/>
      <c r="FQ20" s="79"/>
    </row>
    <row r="21" spans="1:173" s="78" customFormat="1" ht="13.5" customHeight="1" x14ac:dyDescent="0.25">
      <c r="A21" s="548"/>
      <c r="B21" s="110" t="s">
        <v>232</v>
      </c>
      <c r="C21" s="206"/>
      <c r="D21" s="537"/>
      <c r="E21" s="537"/>
      <c r="F21" s="537"/>
      <c r="G21" s="544"/>
      <c r="H21" s="206"/>
      <c r="I21" s="537"/>
      <c r="J21" s="537"/>
      <c r="K21" s="475"/>
      <c r="L21" s="475"/>
      <c r="M21" s="475"/>
      <c r="N21" s="475"/>
      <c r="O21" s="481"/>
      <c r="P21" s="475"/>
      <c r="Q21" s="110"/>
      <c r="R21" s="110"/>
      <c r="S21" s="176"/>
      <c r="T21" s="176"/>
      <c r="U21" s="176"/>
      <c r="V21" s="176" t="str">
        <f t="shared" ref="V21:V29" si="1">IF(AND(T21=$FS$2,U21=$FT$2),"50%",IF(AND(T21=$FS$2,U21=$FT$3),"40%",IF(AND(T21=$FS$3,U21=$FT$2),"40%",IF(AND(T21=$FS$3,U21=$FT$3),"30%",IF(AND(T21=$FS$4,U21=$FT$2),"35%",IF(AND(T21=$FS$4,U21=$FT$3),"25%",""))))))</f>
        <v/>
      </c>
      <c r="W21" s="176"/>
      <c r="X21" s="176"/>
      <c r="Y21" s="176"/>
      <c r="Z21" s="129" t="str">
        <f>IFERROR(IF(AND(S20="Probabilidad",S21="Probabilidad"),(Z20-(+Z20*V21)),IF(S21="Probabilidad",(L20-(+L20*V21)),IF(S21="Impacto",Z20,""))),"")</f>
        <v/>
      </c>
      <c r="AA21" s="478"/>
      <c r="AB21" s="478"/>
      <c r="AC21" s="475"/>
      <c r="AD21" s="177" t="str">
        <f>IFERROR(IF(AND(S20="Impacto",V21="Impacto"),(AD20-(+AD20*V21)),IF(S21="Impacto",(O20-(+O20*V21)),IF(S21="Probabilidad",AD20,""))),"")</f>
        <v/>
      </c>
      <c r="AE21" s="478"/>
      <c r="AF21" s="478"/>
      <c r="AG21" s="475"/>
      <c r="AH21" s="475"/>
      <c r="AI21" s="206"/>
      <c r="AJ21" s="110"/>
      <c r="AK21" s="110"/>
      <c r="AL21" s="111"/>
      <c r="AM21" s="110"/>
      <c r="AN21" s="110"/>
      <c r="AO21" s="110"/>
      <c r="AP21" s="497"/>
      <c r="AQ21" s="537"/>
      <c r="FM21" s="89"/>
      <c r="FQ21" s="80"/>
    </row>
    <row r="22" spans="1:173" s="78" customFormat="1" ht="13.5" customHeight="1" x14ac:dyDescent="0.25">
      <c r="A22" s="548"/>
      <c r="B22" s="110" t="s">
        <v>232</v>
      </c>
      <c r="C22" s="206"/>
      <c r="D22" s="537"/>
      <c r="E22" s="537"/>
      <c r="F22" s="537"/>
      <c r="G22" s="544"/>
      <c r="H22" s="206"/>
      <c r="I22" s="537"/>
      <c r="J22" s="537"/>
      <c r="K22" s="475"/>
      <c r="L22" s="475"/>
      <c r="M22" s="475"/>
      <c r="N22" s="475"/>
      <c r="O22" s="481"/>
      <c r="P22" s="475"/>
      <c r="Q22" s="110"/>
      <c r="R22" s="110"/>
      <c r="S22" s="176"/>
      <c r="T22" s="176"/>
      <c r="U22" s="176"/>
      <c r="V22" s="176" t="str">
        <f t="shared" si="1"/>
        <v/>
      </c>
      <c r="W22" s="176"/>
      <c r="X22" s="176"/>
      <c r="Y22" s="176"/>
      <c r="Z22" s="129" t="str">
        <f>IFERROR(IF(AND(S21="Probabilidad",S22="Probabilidad"),(Z21-(+Z21*V22)),IF(S22="Probabilidad",(L21-(+L21*V22)),IF(S22="Impacto",Z21,""))),"")</f>
        <v/>
      </c>
      <c r="AA22" s="478"/>
      <c r="AB22" s="478"/>
      <c r="AC22" s="475"/>
      <c r="AD22" s="177" t="str">
        <f>IFERROR(IF(AND(S21="Impacto",V22="Impacto"),(AD21-(+AD21*V22)),IF(S22="Impacto",(O21-(+O21*V22)),IF(S22="Probabilidad",AD21,""))),"")</f>
        <v/>
      </c>
      <c r="AE22" s="478"/>
      <c r="AF22" s="478"/>
      <c r="AG22" s="475"/>
      <c r="AH22" s="475"/>
      <c r="AI22" s="206"/>
      <c r="AJ22" s="110"/>
      <c r="AK22" s="110"/>
      <c r="AL22" s="111"/>
      <c r="AM22" s="110"/>
      <c r="AN22" s="110"/>
      <c r="AO22" s="110"/>
      <c r="AP22" s="497"/>
      <c r="AQ22" s="537"/>
      <c r="FM22" s="89"/>
    </row>
    <row r="23" spans="1:173" s="78" customFormat="1" ht="13.5" customHeight="1" x14ac:dyDescent="0.25">
      <c r="A23" s="550"/>
      <c r="B23" s="110" t="s">
        <v>232</v>
      </c>
      <c r="C23" s="207"/>
      <c r="D23" s="538"/>
      <c r="E23" s="538"/>
      <c r="F23" s="538"/>
      <c r="G23" s="551"/>
      <c r="H23" s="207"/>
      <c r="I23" s="538"/>
      <c r="J23" s="538"/>
      <c r="K23" s="486"/>
      <c r="L23" s="486"/>
      <c r="M23" s="486"/>
      <c r="N23" s="486"/>
      <c r="O23" s="491"/>
      <c r="P23" s="486"/>
      <c r="Q23" s="110"/>
      <c r="R23" s="110"/>
      <c r="S23" s="176"/>
      <c r="T23" s="176"/>
      <c r="U23" s="176"/>
      <c r="V23" s="176" t="str">
        <f t="shared" si="1"/>
        <v/>
      </c>
      <c r="W23" s="176"/>
      <c r="X23" s="176"/>
      <c r="Y23" s="176"/>
      <c r="Z23" s="129" t="str">
        <f>IFERROR(IF(AND(S22="Probabilidad",S23="Probabilidad"),(Z22-(+Z22*V23)),IF(S23="Probabilidad",(L22-(+L22*V23)),IF(S23="Impacto",Z22,""))),"")</f>
        <v/>
      </c>
      <c r="AA23" s="489"/>
      <c r="AB23" s="489"/>
      <c r="AC23" s="486"/>
      <c r="AD23" s="177" t="str">
        <f>IFERROR(IF(AND(S22="Impacto",V23="Impacto"),(AD22-(+AD22*V23)),IF(S23="Impacto",(O22-(+O22*V23)),IF(S23="Probabilidad",AD22,""))),"")</f>
        <v/>
      </c>
      <c r="AE23" s="489"/>
      <c r="AF23" s="489"/>
      <c r="AG23" s="486"/>
      <c r="AH23" s="486"/>
      <c r="AI23" s="207"/>
      <c r="AJ23" s="110"/>
      <c r="AK23" s="110"/>
      <c r="AL23" s="111"/>
      <c r="AM23" s="110"/>
      <c r="AN23" s="110"/>
      <c r="AO23" s="110"/>
      <c r="AP23" s="498"/>
      <c r="AQ23" s="538"/>
      <c r="FM23" s="89"/>
    </row>
    <row r="24" spans="1:173" s="78" customFormat="1" ht="13.5" customHeight="1" x14ac:dyDescent="0.25">
      <c r="A24" s="547">
        <v>4</v>
      </c>
      <c r="B24" s="110" t="s">
        <v>232</v>
      </c>
      <c r="C24" s="205" t="s">
        <v>248</v>
      </c>
      <c r="D24" s="539" t="s">
        <v>277</v>
      </c>
      <c r="E24" s="539" t="s">
        <v>278</v>
      </c>
      <c r="F24" s="539" t="s">
        <v>279</v>
      </c>
      <c r="G24" s="543" t="s">
        <v>149</v>
      </c>
      <c r="H24" s="205" t="s">
        <v>150</v>
      </c>
      <c r="I24" s="539" t="s">
        <v>151</v>
      </c>
      <c r="J24" s="539">
        <v>1</v>
      </c>
      <c r="K24" s="474" t="str">
        <f>IF(AND(J24&lt;=2),"Muy Baja",IF(AND(J24&gt;=3,J24&lt;=23),"Baja",IF(AND(J24&gt;=24,J24&lt;=499),"Media",IF(AND(J24&gt;=500,J24&lt;=4999),"Alta",IF(AND(J24&gt;=5000),"Muy Alta",FALSE)))))</f>
        <v>Muy Baja</v>
      </c>
      <c r="L24" s="474" t="str">
        <f>IF(AND(J24&lt;=2),"20%",IF(AND(J24&gt;=3,J24&lt;=23),"40%",IF(AND(J24&gt;=24,J24&lt;=499),"60%",IF(AND(J24&gt;=500,J24&lt;=4999),"80%",IF(AND(J24&gt;=5000),"100%",FALSE)))))</f>
        <v>20%</v>
      </c>
      <c r="M24" s="474" t="s">
        <v>235</v>
      </c>
      <c r="N24" s="474" t="str">
        <f>IF(AND(M24=$FQ$4),"Leve",IF(AND(M24=$FQ$5),"Menor",IF(AND(M24=$FQ$6),"Moderado",IF(AND(M24=$FQ$7),"mayor",IF(AND(M24=$FQ$8),"Catastrófico",IF(AND(M24=$FQ$10),"Leve",IF(AND(M24=$FQ$11),"Menor",IF(AND(M24=$FQ$12),"Moderado",IF(AND(M24=$FQ$13),"Mayor",IF(AND(M24=$FQ$14),"Catastrófico",FALSE))))))))))</f>
        <v>Catastrófico</v>
      </c>
      <c r="O24" s="480" t="str">
        <f>IF(AND(N24="Leve"),"20%",IF(AND(N24="Menor"),"40%",IF(AND(N24="Moderado"),"60%",IF(AND(N24="Mayor"),"80%",IF(AND(N24="Catastrófico"),"100%","")))))</f>
        <v>100%</v>
      </c>
      <c r="P24" s="474" t="str">
        <f>INDEX('[1]MATRIZ RIESGO'!$D$6:$H$10,MATCH(K24,'[1]MATRIZ RIESGO'!$C$6:$C$10,),MATCH(N24,'[1]MATRIZ RIESGO'!$D$5:$H$5,))</f>
        <v>Extremo</v>
      </c>
      <c r="Q24" s="110">
        <v>1</v>
      </c>
      <c r="R24" s="110" t="s">
        <v>249</v>
      </c>
      <c r="S24" s="176" t="s">
        <v>237</v>
      </c>
      <c r="T24" s="176" t="s">
        <v>152</v>
      </c>
      <c r="U24" s="176" t="s">
        <v>153</v>
      </c>
      <c r="V24" s="176" t="str">
        <f t="shared" si="1"/>
        <v>40%</v>
      </c>
      <c r="W24" s="176" t="s">
        <v>154</v>
      </c>
      <c r="X24" s="176" t="s">
        <v>164</v>
      </c>
      <c r="Y24" s="176" t="s">
        <v>156</v>
      </c>
      <c r="Z24" s="129">
        <f>IFERROR(IF(S24="Probabilidad",(L24-(+L24*V24)),IF(S24="Impacto",L24,"")),"")</f>
        <v>0.12</v>
      </c>
      <c r="AA24" s="477">
        <f>LOOKUP(2,1/(Z24:Z29&lt;&gt;""),Z24:Z29)</f>
        <v>4.3199999999999995E-2</v>
      </c>
      <c r="AB24" s="477">
        <f>AA24*1</f>
        <v>4.3199999999999995E-2</v>
      </c>
      <c r="AC24" s="474" t="str">
        <f>IF(AND(AB24&lt;=20%),"Muy Baja",IF(AND(AB24&gt;=21%,AB24&lt;=40%),"Baja",IF(AND(AB24&gt;=41%,AB24&lt;=60%),"Media",IF(AND(AB24&gt;=61%,AB24&lt;=80%),"Alta",IF(AND(AB24&gt;=81%,AB24&gt;=100%),"Muy Alta",FALSE)))))</f>
        <v>Muy Baja</v>
      </c>
      <c r="AD24" s="177" t="str">
        <f>IFERROR(IF(S24="Impacto",(O24-(+O24*V24)),IF(S24="Probabilidad",O24,"")),"")</f>
        <v>100%</v>
      </c>
      <c r="AE24" s="477" t="str">
        <f>LOOKUP(2,1/(AD24:AD29&lt;&gt;""),AD24:AD29)</f>
        <v>100%</v>
      </c>
      <c r="AF24" s="477">
        <f>AE24*1</f>
        <v>1</v>
      </c>
      <c r="AG24" s="474" t="str">
        <f>CHOOSE((AF24&gt;=0%)+(AF24&gt;=21%)+(AF24&gt;=41%)+(AF24&gt;=61%)+(AF24&gt;=81%),"Leve","Menor","Moderado","Mayor","Catastrófico")</f>
        <v>Catastrófico</v>
      </c>
      <c r="AH24" s="474" t="str">
        <f>INDEX('[1]MATRIZ RIESGO'!$D$6:$H$10,MATCH(AC24,'[1]MATRIZ RIESGO'!$C$6:$C$10,),MATCH(AG24,'[1]MATRIZ RIESGO'!$D$5:$H$5,))</f>
        <v>Extremo</v>
      </c>
      <c r="AI24" s="205" t="s">
        <v>77</v>
      </c>
      <c r="AJ24" s="110"/>
      <c r="AK24" s="110"/>
      <c r="AL24" s="111"/>
      <c r="AM24" s="110"/>
      <c r="AN24" s="110"/>
      <c r="AO24" s="110"/>
      <c r="AP24" s="496" t="s">
        <v>251</v>
      </c>
      <c r="AQ24" s="539" t="s">
        <v>113</v>
      </c>
      <c r="FM24" s="89"/>
    </row>
    <row r="25" spans="1:173" s="78" customFormat="1" ht="13.5" customHeight="1" x14ac:dyDescent="0.25">
      <c r="A25" s="548"/>
      <c r="B25" s="110" t="s">
        <v>232</v>
      </c>
      <c r="C25" s="206"/>
      <c r="D25" s="537"/>
      <c r="E25" s="537"/>
      <c r="F25" s="537"/>
      <c r="G25" s="544"/>
      <c r="H25" s="206"/>
      <c r="I25" s="537"/>
      <c r="J25" s="537"/>
      <c r="K25" s="475"/>
      <c r="L25" s="475"/>
      <c r="M25" s="475"/>
      <c r="N25" s="475"/>
      <c r="O25" s="481"/>
      <c r="P25" s="475"/>
      <c r="Q25" s="110">
        <v>2</v>
      </c>
      <c r="R25" s="110" t="s">
        <v>252</v>
      </c>
      <c r="S25" s="176" t="s">
        <v>237</v>
      </c>
      <c r="T25" s="176" t="s">
        <v>152</v>
      </c>
      <c r="U25" s="176" t="s">
        <v>153</v>
      </c>
      <c r="V25" s="176" t="str">
        <f t="shared" si="1"/>
        <v>40%</v>
      </c>
      <c r="W25" s="176" t="s">
        <v>154</v>
      </c>
      <c r="X25" s="176" t="s">
        <v>164</v>
      </c>
      <c r="Y25" s="176" t="s">
        <v>156</v>
      </c>
      <c r="Z25" s="129">
        <f>IFERROR(IF(AND(S24="Probabilidad",S25="Probabilidad"),(Z24-(+Z24*V25)),IF(S25="Probabilidad",(L24-(+L24*V25)),IF(S25="Impacto",Z24,""))),"")</f>
        <v>7.1999999999999995E-2</v>
      </c>
      <c r="AA25" s="478"/>
      <c r="AB25" s="478"/>
      <c r="AC25" s="475"/>
      <c r="AD25" s="177" t="str">
        <f>IFERROR(IF(AND(S24="Impacto",V25="Impacto"),(AD24-(+AD24*V25)),IF(S25="Impacto",(O24-(+O24*V25)),IF(S25="Probabilidad",AD24,""))),"")</f>
        <v>100%</v>
      </c>
      <c r="AE25" s="478"/>
      <c r="AF25" s="478"/>
      <c r="AG25" s="475"/>
      <c r="AH25" s="475"/>
      <c r="AI25" s="206"/>
      <c r="AJ25" s="110"/>
      <c r="AK25" s="110"/>
      <c r="AL25" s="111"/>
      <c r="AM25" s="110"/>
      <c r="AN25" s="110"/>
      <c r="AO25" s="110"/>
      <c r="AP25" s="497"/>
      <c r="AQ25" s="537"/>
      <c r="FM25" s="89"/>
    </row>
    <row r="26" spans="1:173" s="78" customFormat="1" ht="13.5" customHeight="1" x14ac:dyDescent="0.25">
      <c r="A26" s="548"/>
      <c r="B26" s="110" t="s">
        <v>232</v>
      </c>
      <c r="C26" s="206"/>
      <c r="D26" s="537"/>
      <c r="E26" s="537"/>
      <c r="F26" s="537"/>
      <c r="G26" s="544"/>
      <c r="H26" s="206"/>
      <c r="I26" s="537"/>
      <c r="J26" s="537"/>
      <c r="K26" s="475"/>
      <c r="L26" s="475"/>
      <c r="M26" s="475"/>
      <c r="N26" s="475"/>
      <c r="O26" s="481"/>
      <c r="P26" s="475"/>
      <c r="Q26" s="110">
        <v>3</v>
      </c>
      <c r="R26" s="110" t="s">
        <v>253</v>
      </c>
      <c r="S26" s="176" t="s">
        <v>237</v>
      </c>
      <c r="T26" s="176" t="s">
        <v>152</v>
      </c>
      <c r="U26" s="176" t="s">
        <v>153</v>
      </c>
      <c r="V26" s="176" t="str">
        <f t="shared" si="1"/>
        <v>40%</v>
      </c>
      <c r="W26" s="176" t="s">
        <v>154</v>
      </c>
      <c r="X26" s="176" t="s">
        <v>164</v>
      </c>
      <c r="Y26" s="176" t="s">
        <v>156</v>
      </c>
      <c r="Z26" s="129">
        <f>IFERROR(IF(AND(S25="Probabilidad",S26="Probabilidad"),(Z25-(+Z25*V26)),IF(S26="Probabilidad",(L25-(+L25*V26)),IF(S26="Impacto",Z25,""))),"")</f>
        <v>4.3199999999999995E-2</v>
      </c>
      <c r="AA26" s="478"/>
      <c r="AB26" s="478"/>
      <c r="AC26" s="475"/>
      <c r="AD26" s="177" t="str">
        <f>IFERROR(IF(AND(S25="Impacto",V26="Impacto"),(AD25-(+AD25*V26)),IF(S26="Impacto",(O25-(+O25*V26)),IF(S26="Probabilidad",AD25,""))),"")</f>
        <v>100%</v>
      </c>
      <c r="AE26" s="478"/>
      <c r="AF26" s="478"/>
      <c r="AG26" s="475"/>
      <c r="AH26" s="475"/>
      <c r="AI26" s="206"/>
      <c r="AJ26" s="110"/>
      <c r="AK26" s="110"/>
      <c r="AL26" s="111"/>
      <c r="AM26" s="110"/>
      <c r="AN26" s="110"/>
      <c r="AO26" s="110"/>
      <c r="AP26" s="497"/>
      <c r="AQ26" s="537"/>
      <c r="FM26" s="89"/>
      <c r="FQ26" s="79"/>
    </row>
    <row r="27" spans="1:173" s="78" customFormat="1" ht="13.5" customHeight="1" x14ac:dyDescent="0.25">
      <c r="A27" s="548"/>
      <c r="B27" s="110" t="s">
        <v>232</v>
      </c>
      <c r="C27" s="206"/>
      <c r="D27" s="537"/>
      <c r="E27" s="537"/>
      <c r="F27" s="537"/>
      <c r="G27" s="544"/>
      <c r="H27" s="206"/>
      <c r="I27" s="537"/>
      <c r="J27" s="537"/>
      <c r="K27" s="475"/>
      <c r="L27" s="475"/>
      <c r="M27" s="475"/>
      <c r="N27" s="475"/>
      <c r="O27" s="481"/>
      <c r="P27" s="475"/>
      <c r="Q27" s="110"/>
      <c r="R27" s="110"/>
      <c r="S27" s="176"/>
      <c r="T27" s="176"/>
      <c r="U27" s="176"/>
      <c r="V27" s="176" t="str">
        <f t="shared" si="1"/>
        <v/>
      </c>
      <c r="W27" s="176"/>
      <c r="X27" s="176"/>
      <c r="Y27" s="176"/>
      <c r="Z27" s="129" t="str">
        <f>IFERROR(IF(AND(S26="Probabilidad",S27="Probabilidad"),(Z26-(+Z26*V27)),IF(S27="Probabilidad",(L26-(+L26*V27)),IF(S27="Impacto",Z26,""))),"")</f>
        <v/>
      </c>
      <c r="AA27" s="478"/>
      <c r="AB27" s="478"/>
      <c r="AC27" s="475"/>
      <c r="AD27" s="177" t="str">
        <f>IFERROR(IF(AND(S26="Impacto",V27="Impacto"),(AD26-(+AD26*V27)),IF(S27="Impacto",(O26-(+O26*V27)),IF(S27="Probabilidad",AD26,""))),"")</f>
        <v/>
      </c>
      <c r="AE27" s="478"/>
      <c r="AF27" s="478"/>
      <c r="AG27" s="475"/>
      <c r="AH27" s="475"/>
      <c r="AI27" s="206"/>
      <c r="AJ27" s="110"/>
      <c r="AK27" s="110"/>
      <c r="AL27" s="111"/>
      <c r="AM27" s="110"/>
      <c r="AN27" s="110"/>
      <c r="AO27" s="110"/>
      <c r="AP27" s="497"/>
      <c r="AQ27" s="537"/>
      <c r="FM27" s="89"/>
      <c r="FQ27" s="80"/>
    </row>
    <row r="28" spans="1:173" s="78" customFormat="1" ht="13.5" customHeight="1" x14ac:dyDescent="0.25">
      <c r="A28" s="548"/>
      <c r="B28" s="110" t="s">
        <v>232</v>
      </c>
      <c r="C28" s="206"/>
      <c r="D28" s="537"/>
      <c r="E28" s="537"/>
      <c r="F28" s="537"/>
      <c r="G28" s="544"/>
      <c r="H28" s="206"/>
      <c r="I28" s="537"/>
      <c r="J28" s="537"/>
      <c r="K28" s="475"/>
      <c r="L28" s="475"/>
      <c r="M28" s="475"/>
      <c r="N28" s="475"/>
      <c r="O28" s="481"/>
      <c r="P28" s="475"/>
      <c r="Q28" s="110"/>
      <c r="R28" s="110"/>
      <c r="S28" s="176"/>
      <c r="T28" s="176"/>
      <c r="U28" s="176"/>
      <c r="V28" s="176" t="str">
        <f t="shared" si="1"/>
        <v/>
      </c>
      <c r="W28" s="176"/>
      <c r="X28" s="176"/>
      <c r="Y28" s="176"/>
      <c r="Z28" s="129" t="str">
        <f>IFERROR(IF(AND(S27="Probabilidad",S28="Probabilidad"),(Z27-(+Z27*V28)),IF(S28="Probabilidad",(L27-(+L27*V28)),IF(S28="Impacto",Z27,""))),"")</f>
        <v/>
      </c>
      <c r="AA28" s="478"/>
      <c r="AB28" s="478"/>
      <c r="AC28" s="475"/>
      <c r="AD28" s="177" t="str">
        <f>IFERROR(IF(AND(S27="Impacto",V28="Impacto"),(AD27-(+AD27*V28)),IF(S28="Impacto",(O27-(+O27*V28)),IF(S28="Probabilidad",AD27,""))),"")</f>
        <v/>
      </c>
      <c r="AE28" s="478"/>
      <c r="AF28" s="478"/>
      <c r="AG28" s="475"/>
      <c r="AH28" s="475"/>
      <c r="AI28" s="206"/>
      <c r="AJ28" s="110"/>
      <c r="AK28" s="110"/>
      <c r="AL28" s="111"/>
      <c r="AM28" s="110"/>
      <c r="AN28" s="110"/>
      <c r="AO28" s="110"/>
      <c r="AP28" s="497"/>
      <c r="AQ28" s="537"/>
      <c r="FM28" s="89"/>
    </row>
    <row r="29" spans="1:173" s="78" customFormat="1" ht="13.5" customHeight="1" x14ac:dyDescent="0.25">
      <c r="A29" s="549"/>
      <c r="B29" s="110" t="s">
        <v>232</v>
      </c>
      <c r="C29" s="546"/>
      <c r="D29" s="540"/>
      <c r="E29" s="540"/>
      <c r="F29" s="540"/>
      <c r="G29" s="545"/>
      <c r="H29" s="473"/>
      <c r="I29" s="540"/>
      <c r="J29" s="540"/>
      <c r="K29" s="476"/>
      <c r="L29" s="476"/>
      <c r="M29" s="476"/>
      <c r="N29" s="476"/>
      <c r="O29" s="482"/>
      <c r="P29" s="476"/>
      <c r="Q29" s="110"/>
      <c r="R29" s="110"/>
      <c r="S29" s="176"/>
      <c r="T29" s="176"/>
      <c r="U29" s="176"/>
      <c r="V29" s="176" t="str">
        <f t="shared" si="1"/>
        <v/>
      </c>
      <c r="W29" s="176"/>
      <c r="X29" s="176"/>
      <c r="Y29" s="176"/>
      <c r="Z29" s="129" t="str">
        <f>IFERROR(IF(AND(S28="Probabilidad",S29="Probabilidad"),(Z28-(+Z28*V29)),IF(S29="Probabilidad",(L28-(+L28*V29)),IF(S29="Impacto",Z28,""))),"")</f>
        <v/>
      </c>
      <c r="AA29" s="479"/>
      <c r="AB29" s="479"/>
      <c r="AC29" s="476"/>
      <c r="AD29" s="177" t="str">
        <f>IFERROR(IF(AND(S28="Impacto",V29="Impacto"),(AD28-(+AD28*V29)),IF(S29="Impacto",(O28-(+O28*V29)),IF(S29="Probabilidad",AD28,""))),"")</f>
        <v/>
      </c>
      <c r="AE29" s="479"/>
      <c r="AF29" s="479"/>
      <c r="AG29" s="476"/>
      <c r="AH29" s="476"/>
      <c r="AI29" s="473"/>
      <c r="AJ29" s="110"/>
      <c r="AK29" s="110"/>
      <c r="AL29" s="111"/>
      <c r="AM29" s="110"/>
      <c r="AN29" s="110"/>
      <c r="AO29" s="110"/>
      <c r="AP29" s="498"/>
      <c r="AQ29" s="538"/>
      <c r="FM29" s="89"/>
    </row>
    <row r="30" spans="1:173" s="78" customFormat="1" ht="13.5" customHeight="1" x14ac:dyDescent="0.25">
      <c r="A30" s="446">
        <v>6</v>
      </c>
      <c r="B30" s="570" t="s">
        <v>88</v>
      </c>
      <c r="C30" s="444" t="s">
        <v>248</v>
      </c>
      <c r="D30" s="440" t="s">
        <v>778</v>
      </c>
      <c r="E30" s="440" t="s">
        <v>779</v>
      </c>
      <c r="F30" s="440" t="s">
        <v>780</v>
      </c>
      <c r="G30" s="437" t="s">
        <v>149</v>
      </c>
      <c r="H30" s="199" t="s">
        <v>150</v>
      </c>
      <c r="I30" s="527" t="s">
        <v>151</v>
      </c>
      <c r="J30" s="571">
        <v>1</v>
      </c>
      <c r="K30" s="496" t="str">
        <f>IF(AND(J30&lt;=2),"Muy Baja",IF(AND(J30&gt;=3,J30&lt;=23),"Baja",IF(AND(J30&gt;=24,J30&lt;=499),"Media",IF(AND(J30&gt;=500,J30&lt;=4999),"Alta",IF(AND(J30&gt;=5000),"Muy Alta",FALSE)))))</f>
        <v>Muy Baja</v>
      </c>
      <c r="L30" s="496" t="str">
        <f>IF(AND(J30&lt;=2),"20%",IF(AND(J30&gt;=3,J30&lt;=23),"40%",IF(AND(J30&gt;=24,J30&lt;=499),"60%",IF(AND(J30&gt;=500,J30&lt;=4999),"80%",IF(AND(J30&gt;=5000),"100%",FALSE)))))</f>
        <v>20%</v>
      </c>
      <c r="M30" s="496" t="s">
        <v>160</v>
      </c>
      <c r="N30" s="496" t="str">
        <f>IF(AND(M30=$FQ$4),"Leve",IF(AND(M30=$FQ$5),"Menor",IF(AND(M30=$FQ$6),"Moderado",IF(AND(M30=$FQ$7),"mayor",IF(AND(M30=$FQ$8),"Catastrófico",IF(AND(M30=$FQ$10),"Leve",IF(AND(M30=$FQ$11),"Menor",IF(AND(M30=$FQ$12),"Moderado",IF(AND(M30=$FQ$13),"Mayor",IF(AND(M30=$FQ$14),"Catastrófico",FALSE))))))))))</f>
        <v>Menor</v>
      </c>
      <c r="O30" s="509" t="str">
        <f>IF(AND(N30="Leve"),"20%",IF(AND(N30="Menor"),"40%",IF(AND(N30="Moderado"),"60%",IF(AND(N30="Mayor"),"80%",IF(AND(N30="Catastrófico"),"100%","")))))</f>
        <v>40%</v>
      </c>
      <c r="P30" s="496" t="str">
        <f>INDEX('[2]MATRIZ RIESGO'!$D$6:$H$10,MATCH(K30,'[2]MATRIZ RIESGO'!$C$6:$C$10,),MATCH(N30,'[2]MATRIZ RIESGO'!$D$5:$H$5,))</f>
        <v>Bajo</v>
      </c>
      <c r="Q30" s="572">
        <v>1</v>
      </c>
      <c r="R30" s="130" t="s">
        <v>781</v>
      </c>
      <c r="S30" s="178" t="s">
        <v>237</v>
      </c>
      <c r="T30" s="178" t="s">
        <v>202</v>
      </c>
      <c r="U30" s="178" t="s">
        <v>153</v>
      </c>
      <c r="V30" s="178" t="str">
        <f>IF(AND(T30=$FS$2,U30=$FT$2),"50%",IF(AND(T30=$FS$2,U30=$FT$3),"40%",IF(AND(T30=$FS$3,U30=$FT$2),"40%",IF(AND(T30=$FS$3,U30=$FT$3),"30%",IF(AND(T30=$FS$4,U30=$FT$2),"35%",IF(AND(T30=$FS$4,U30=$FT$3),"25%",""))))))</f>
        <v>30%</v>
      </c>
      <c r="W30" s="178" t="s">
        <v>154</v>
      </c>
      <c r="X30" s="178" t="s">
        <v>155</v>
      </c>
      <c r="Y30" s="178" t="s">
        <v>156</v>
      </c>
      <c r="Z30" s="131">
        <f>IFERROR(IF(S30="Probabilidad",(L30-(+L30*V30)),IF(S30="Impacto",L30,"")),"")</f>
        <v>0.14000000000000001</v>
      </c>
      <c r="AA30" s="218">
        <f>LOOKUP(2,1/(Z30:Z35&lt;&gt;""),Z30:Z35)</f>
        <v>0.14000000000000001</v>
      </c>
      <c r="AB30" s="218">
        <f>AA30*1</f>
        <v>0.14000000000000001</v>
      </c>
      <c r="AC30" s="496" t="str">
        <f>IF(AND(AB30&lt;=20%),"Muy Baja",IF(AND(AB30&gt;=21%,AB30&lt;=40%),"Baja",IF(AND(AB30&gt;=41%,AB30&lt;=60%),"Media",IF(AND(AB30&gt;=61%,AB30&lt;=80%),"Alta",IF(AND(AB30&gt;=81%,AB30&gt;=100%),"Muy Alta",FALSE)))))</f>
        <v>Muy Baja</v>
      </c>
      <c r="AD30" s="182" t="str">
        <f>IFERROR(IF(S30="Impacto",(O30-(+O30*V30)),IF(S30="Probabilidad",O30,"")),"")</f>
        <v>40%</v>
      </c>
      <c r="AE30" s="218" t="str">
        <f>LOOKUP(2,1/(AD30:AD35&lt;&gt;""),AD30:AD35)</f>
        <v>40%</v>
      </c>
      <c r="AF30" s="218">
        <f>AE30*1</f>
        <v>0.4</v>
      </c>
      <c r="AG30" s="496" t="str">
        <f>CHOOSE((AF30&gt;=0%)+(AF30&gt;=21%)+(AF30&gt;=41%)+(AF30&gt;=61%)+(AF30&gt;=81%),"Leve","Menor","Moderado","Mayor","Catastrófico")</f>
        <v>Menor</v>
      </c>
      <c r="AH30" s="496" t="str">
        <f>INDEX('[2]MATRIZ RIESGO'!$D$6:$H$10,MATCH(AC30,'[2]MATRIZ RIESGO'!$C$6:$C$10,),MATCH(AG30,'[2]MATRIZ RIESGO'!$D$5:$H$5,))</f>
        <v>Bajo</v>
      </c>
      <c r="AI30" s="496" t="s">
        <v>77</v>
      </c>
      <c r="AJ30" s="172"/>
      <c r="AK30" s="172"/>
      <c r="AL30" s="163"/>
      <c r="AM30" s="163"/>
      <c r="AN30" s="172"/>
      <c r="AO30" s="172"/>
      <c r="AP30" s="496" t="s">
        <v>280</v>
      </c>
      <c r="AQ30" s="539" t="s">
        <v>113</v>
      </c>
      <c r="FM30" s="89"/>
      <c r="FP30" s="78" t="s">
        <v>255</v>
      </c>
      <c r="FQ30" s="80" t="s">
        <v>256</v>
      </c>
    </row>
    <row r="31" spans="1:173" s="78" customFormat="1" ht="13.5" customHeight="1" x14ac:dyDescent="0.2">
      <c r="A31" s="447"/>
      <c r="B31" s="570" t="s">
        <v>88</v>
      </c>
      <c r="C31" s="325"/>
      <c r="D31" s="441"/>
      <c r="E31" s="441"/>
      <c r="F31" s="441"/>
      <c r="G31" s="438"/>
      <c r="H31" s="200"/>
      <c r="I31" s="507"/>
      <c r="J31" s="573"/>
      <c r="K31" s="497"/>
      <c r="L31" s="497"/>
      <c r="M31" s="497"/>
      <c r="N31" s="497"/>
      <c r="O31" s="510"/>
      <c r="P31" s="497"/>
      <c r="Q31" s="572"/>
      <c r="R31" s="130"/>
      <c r="S31" s="178"/>
      <c r="T31" s="178"/>
      <c r="U31" s="178"/>
      <c r="V31" s="178" t="str">
        <f>IF(AND(T31=$FS$2,U31=$FT$2),"50%",IF(AND(T31=$FS$2,U31=$FT$3),"40%",IF(AND(T31=$FS$3,U31=$FT$2),"40%",IF(AND(T31=$FS$3,U31=$FT$3),"30%",IF(AND(T31=$FS$4,U31=$FT$2),"35%",IF(AND(T31=$FS$4,U31=$FT$3),"25%",""))))))</f>
        <v/>
      </c>
      <c r="W31" s="178"/>
      <c r="X31" s="178"/>
      <c r="Y31" s="178"/>
      <c r="Z31" s="131" t="str">
        <f>IFERROR(IF(AND(S30="Probabilidad",S31="Probabilidad"),(Z30-(+Z30*V31)),IF(S31="Probabilidad",(L30-(+L30*V31)),IF(S31="Impacto",Z30,""))),"")</f>
        <v/>
      </c>
      <c r="AA31" s="219"/>
      <c r="AB31" s="219"/>
      <c r="AC31" s="497"/>
      <c r="AD31" s="182" t="str">
        <f>IFERROR(IF(AND(S30="Impacto",V31="Impacto"),(AD30-(+AD30*V31)),IF(S31="Impacto",(O30-(+O30*V31)),IF(S31="Probabilidad",AD30,""))),"")</f>
        <v/>
      </c>
      <c r="AE31" s="219"/>
      <c r="AF31" s="219"/>
      <c r="AG31" s="497"/>
      <c r="AH31" s="497"/>
      <c r="AI31" s="497"/>
      <c r="AJ31" s="172"/>
      <c r="AK31" s="172"/>
      <c r="AL31" s="163"/>
      <c r="AM31" s="163"/>
      <c r="AN31" s="172"/>
      <c r="AO31" s="172"/>
      <c r="AP31" s="497"/>
      <c r="AQ31" s="537"/>
      <c r="FM31" s="89"/>
      <c r="FP31" s="78" t="s">
        <v>196</v>
      </c>
      <c r="FQ31" s="87" t="s">
        <v>158</v>
      </c>
    </row>
    <row r="32" spans="1:173" s="78" customFormat="1" ht="13.5" customHeight="1" x14ac:dyDescent="0.2">
      <c r="A32" s="447"/>
      <c r="B32" s="570" t="s">
        <v>88</v>
      </c>
      <c r="C32" s="325"/>
      <c r="D32" s="441"/>
      <c r="E32" s="441"/>
      <c r="F32" s="441"/>
      <c r="G32" s="438"/>
      <c r="H32" s="200"/>
      <c r="I32" s="507"/>
      <c r="J32" s="573"/>
      <c r="K32" s="497"/>
      <c r="L32" s="497"/>
      <c r="M32" s="497"/>
      <c r="N32" s="497"/>
      <c r="O32" s="510"/>
      <c r="P32" s="497"/>
      <c r="Q32" s="572"/>
      <c r="R32" s="130"/>
      <c r="S32" s="178"/>
      <c r="T32" s="178"/>
      <c r="U32" s="178"/>
      <c r="V32" s="178" t="str">
        <f>IF(AND(T32=$FS$2,U32=$FT$2),"50%",IF(AND(T32=$FS$2,U32=$FT$3),"40%",IF(AND(T32=$FS$3,U32=$FT$2),"40%",IF(AND(T32=$FS$3,U32=$FT$3),"30%",IF(AND(T32=$FS$4,U32=$FT$2),"35%",IF(AND(T32=$FS$4,U32=$FT$3),"25%",""))))))</f>
        <v/>
      </c>
      <c r="W32" s="178"/>
      <c r="X32" s="178"/>
      <c r="Y32" s="178"/>
      <c r="Z32" s="131" t="str">
        <f>IFERROR(IF(AND(S31="Probabilidad",S32="Probabilidad"),(Z31-(+Z31*V32)),IF(S32="Probabilidad",(L31-(+L31*V32)),IF(S32="Impacto",Z31,""))),"")</f>
        <v/>
      </c>
      <c r="AA32" s="219"/>
      <c r="AB32" s="219"/>
      <c r="AC32" s="497"/>
      <c r="AD32" s="182" t="str">
        <f>IFERROR(IF(AND(S31="Impacto",V32="Impacto"),(AD31-(+AD31*V32)),IF(S32="Impacto",(O31-(+O31*V32)),IF(S32="Probabilidad",AD31,""))),"")</f>
        <v/>
      </c>
      <c r="AE32" s="219"/>
      <c r="AF32" s="219"/>
      <c r="AG32" s="497"/>
      <c r="AH32" s="497"/>
      <c r="AI32" s="497"/>
      <c r="AJ32" s="172"/>
      <c r="AK32" s="172"/>
      <c r="AL32" s="163"/>
      <c r="AM32" s="163"/>
      <c r="AN32" s="172"/>
      <c r="AO32" s="172"/>
      <c r="AP32" s="497"/>
      <c r="AQ32" s="537"/>
      <c r="FM32" s="89"/>
      <c r="FQ32" s="87" t="s">
        <v>160</v>
      </c>
    </row>
    <row r="33" spans="1:173" s="78" customFormat="1" ht="13.5" customHeight="1" x14ac:dyDescent="0.2">
      <c r="A33" s="447"/>
      <c r="B33" s="570" t="s">
        <v>88</v>
      </c>
      <c r="C33" s="325"/>
      <c r="D33" s="441"/>
      <c r="E33" s="441"/>
      <c r="F33" s="441"/>
      <c r="G33" s="438"/>
      <c r="H33" s="200"/>
      <c r="I33" s="507"/>
      <c r="J33" s="573"/>
      <c r="K33" s="497"/>
      <c r="L33" s="497"/>
      <c r="M33" s="497"/>
      <c r="N33" s="497"/>
      <c r="O33" s="510"/>
      <c r="P33" s="497"/>
      <c r="Q33" s="572"/>
      <c r="R33" s="130"/>
      <c r="S33" s="178"/>
      <c r="T33" s="178"/>
      <c r="U33" s="178"/>
      <c r="V33" s="178" t="str">
        <f>IF(AND(T33=$FS$2,U33=$FT$2),"50%",IF(AND(T33=$FS$2,U33=$FT$3),"40%",IF(AND(T33=$FS$3,U33=$FT$2),"40%",IF(AND(T33=$FS$3,U33=$FT$3),"30%",IF(AND(T33=$FS$4,U33=$FT$2),"35%",IF(AND(T33=$FS$4,U33=$FT$3),"25%",""))))))</f>
        <v/>
      </c>
      <c r="W33" s="178"/>
      <c r="X33" s="178"/>
      <c r="Y33" s="178"/>
      <c r="Z33" s="131" t="str">
        <f>IFERROR(IF(AND(S32="Probabilidad",S33="Probabilidad"),(Z32-(+Z32*V33)),IF(S33="Probabilidad",(L32-(+L32*V33)),IF(S33="Impacto",Z32,""))),"")</f>
        <v/>
      </c>
      <c r="AA33" s="219"/>
      <c r="AB33" s="219"/>
      <c r="AC33" s="497"/>
      <c r="AD33" s="182" t="str">
        <f>IFERROR(IF(AND(S32="Impacto",V33="Impacto"),(AD32-(+AD32*V33)),IF(S33="Impacto",(O32-(+O32*V33)),IF(S33="Probabilidad",AD32,""))),"")</f>
        <v/>
      </c>
      <c r="AE33" s="219"/>
      <c r="AF33" s="219"/>
      <c r="AG33" s="497"/>
      <c r="AH33" s="497"/>
      <c r="AI33" s="497"/>
      <c r="AJ33" s="172"/>
      <c r="AK33" s="172"/>
      <c r="AL33" s="163"/>
      <c r="AM33" s="163"/>
      <c r="AN33" s="172"/>
      <c r="AO33" s="172"/>
      <c r="AP33" s="497"/>
      <c r="AQ33" s="537"/>
      <c r="FM33" s="89"/>
      <c r="FQ33" s="87" t="s">
        <v>162</v>
      </c>
    </row>
    <row r="34" spans="1:173" s="78" customFormat="1" ht="13.5" customHeight="1" x14ac:dyDescent="0.2">
      <c r="A34" s="447"/>
      <c r="B34" s="570" t="s">
        <v>88</v>
      </c>
      <c r="C34" s="325"/>
      <c r="D34" s="441"/>
      <c r="E34" s="441"/>
      <c r="F34" s="441"/>
      <c r="G34" s="438"/>
      <c r="H34" s="200"/>
      <c r="I34" s="507"/>
      <c r="J34" s="573"/>
      <c r="K34" s="497"/>
      <c r="L34" s="497"/>
      <c r="M34" s="497"/>
      <c r="N34" s="497"/>
      <c r="O34" s="510"/>
      <c r="P34" s="497"/>
      <c r="Q34" s="572"/>
      <c r="R34" s="130"/>
      <c r="S34" s="178"/>
      <c r="T34" s="178"/>
      <c r="U34" s="178"/>
      <c r="V34" s="178" t="str">
        <f>IF(AND(T34=$FS$2,U34=$FT$2),"50%",IF(AND(T34=$FS$2,U34=$FT$3),"40%",IF(AND(T34=$FS$3,U34=$FT$2),"40%",IF(AND(T34=$FS$3,U34=$FT$3),"30%",IF(AND(T34=$FS$4,U34=$FT$2),"35%",IF(AND(T34=$FS$4,U34=$FT$3),"25%",""))))))</f>
        <v/>
      </c>
      <c r="W34" s="178"/>
      <c r="X34" s="178"/>
      <c r="Y34" s="178"/>
      <c r="Z34" s="131" t="str">
        <f>IFERROR(IF(AND(S33="Probabilidad",S34="Probabilidad"),(Z33-(+Z33*V34)),IF(S34="Probabilidad",(L33-(+L33*V34)),IF(S34="Impacto",Z33,""))),"")</f>
        <v/>
      </c>
      <c r="AA34" s="219"/>
      <c r="AB34" s="219"/>
      <c r="AC34" s="497"/>
      <c r="AD34" s="182" t="str">
        <f>IFERROR(IF(AND(S33="Impacto",V34="Impacto"),(AD33-(+AD33*V34)),IF(S34="Impacto",(O33-(+O33*V34)),IF(S34="Probabilidad",AD33,""))),"")</f>
        <v/>
      </c>
      <c r="AE34" s="219"/>
      <c r="AF34" s="219"/>
      <c r="AG34" s="497"/>
      <c r="AH34" s="497"/>
      <c r="AI34" s="497"/>
      <c r="AJ34" s="172"/>
      <c r="AK34" s="172"/>
      <c r="AL34" s="163"/>
      <c r="AM34" s="163"/>
      <c r="AN34" s="172"/>
      <c r="AO34" s="172"/>
      <c r="AP34" s="497"/>
      <c r="AQ34" s="537"/>
      <c r="FM34" s="89"/>
      <c r="FQ34" s="87" t="s">
        <v>257</v>
      </c>
    </row>
    <row r="35" spans="1:173" s="78" customFormat="1" ht="13.5" customHeight="1" x14ac:dyDescent="0.2">
      <c r="A35" s="460"/>
      <c r="B35" s="570" t="s">
        <v>88</v>
      </c>
      <c r="C35" s="459"/>
      <c r="D35" s="458"/>
      <c r="E35" s="458"/>
      <c r="F35" s="458"/>
      <c r="G35" s="457"/>
      <c r="H35" s="201"/>
      <c r="I35" s="508"/>
      <c r="J35" s="574"/>
      <c r="K35" s="498"/>
      <c r="L35" s="498"/>
      <c r="M35" s="498"/>
      <c r="N35" s="498"/>
      <c r="O35" s="511"/>
      <c r="P35" s="498"/>
      <c r="Q35" s="572"/>
      <c r="R35" s="130"/>
      <c r="S35" s="178"/>
      <c r="T35" s="178"/>
      <c r="U35" s="178"/>
      <c r="V35" s="178" t="str">
        <f>IF(AND(T35=$FS$2,U35=$FT$2),"50%",IF(AND(T35=$FS$2,U35=$FT$3),"40%",IF(AND(T35=$FS$3,U35=$FT$2),"40%",IF(AND(T35=$FS$3,U35=$FT$3),"30%",IF(AND(T35=$FS$4,U35=$FT$2),"35%",IF(AND(T35=$FS$4,U35=$FT$3),"25%",""))))))</f>
        <v/>
      </c>
      <c r="W35" s="178"/>
      <c r="X35" s="178"/>
      <c r="Y35" s="178"/>
      <c r="Z35" s="131" t="str">
        <f>IFERROR(IF(AND(S34="Probabilidad",S35="Probabilidad"),(Z34-(+Z34*V35)),IF(S35="Probabilidad",(L34-(+L34*V35)),IF(S35="Impacto",Z34,""))),"")</f>
        <v/>
      </c>
      <c r="AA35" s="220"/>
      <c r="AB35" s="220"/>
      <c r="AC35" s="498"/>
      <c r="AD35" s="182" t="str">
        <f>IFERROR(IF(AND(S34="Impacto",V35="Impacto"),(AD34-(+AD34*V35)),IF(S35="Impacto",(O34-(+O34*V35)),IF(S35="Probabilidad",AD34,""))),"")</f>
        <v/>
      </c>
      <c r="AE35" s="220"/>
      <c r="AF35" s="220"/>
      <c r="AG35" s="498"/>
      <c r="AH35" s="498"/>
      <c r="AI35" s="498"/>
      <c r="AJ35" s="172"/>
      <c r="AK35" s="172"/>
      <c r="AL35" s="163"/>
      <c r="AM35" s="172"/>
      <c r="AN35" s="172"/>
      <c r="AO35" s="172"/>
      <c r="AP35" s="498"/>
      <c r="AQ35" s="538"/>
      <c r="FM35" s="89"/>
      <c r="FQ35" s="87" t="s">
        <v>170</v>
      </c>
    </row>
    <row r="36" spans="1:173" s="78" customFormat="1" ht="13.5" customHeight="1" x14ac:dyDescent="0.25">
      <c r="A36" s="446">
        <v>7</v>
      </c>
      <c r="B36" s="570" t="s">
        <v>88</v>
      </c>
      <c r="C36" s="444" t="s">
        <v>248</v>
      </c>
      <c r="D36" s="440" t="s">
        <v>291</v>
      </c>
      <c r="E36" s="440" t="s">
        <v>292</v>
      </c>
      <c r="F36" s="440" t="s">
        <v>782</v>
      </c>
      <c r="G36" s="437" t="s">
        <v>149</v>
      </c>
      <c r="H36" s="199" t="s">
        <v>150</v>
      </c>
      <c r="I36" s="527" t="s">
        <v>151</v>
      </c>
      <c r="J36" s="571">
        <v>1</v>
      </c>
      <c r="K36" s="496" t="str">
        <f>IF(AND(J36&lt;=2),"Muy Baja",IF(AND(J36&gt;=3,J36&lt;=23),"Baja",IF(AND(J36&gt;=24,J36&lt;=499),"Media",IF(AND(J36&gt;=500,J36&lt;=4999),"Alta",IF(AND(J36&gt;=5000),"Muy Alta",FALSE)))))</f>
        <v>Muy Baja</v>
      </c>
      <c r="L36" s="496" t="str">
        <f>IF(AND(J36&lt;=2),"20%",IF(AND(J36&gt;=3,J36&lt;=23),"40%",IF(AND(J36&gt;=24,J36&lt;=499),"60%",IF(AND(J36&gt;=500,J36&lt;=4999),"80%",IF(AND(J36&gt;=5000),"100%",FALSE)))))</f>
        <v>20%</v>
      </c>
      <c r="M36" s="496" t="s">
        <v>235</v>
      </c>
      <c r="N36" s="496" t="str">
        <f>IF(AND(M36=$FQ$4),"Leve",IF(AND(M36=$FQ$5),"Menor",IF(AND(M36=$FQ$6),"Moderado",IF(AND(M36=$FQ$7),"mayor",IF(AND(M36=$FQ$8),"Catastrófico",IF(AND(M36=$FQ$10),"Leve",IF(AND(M36=$FQ$11),"Menor",IF(AND(M36=$FQ$12),"Moderado",IF(AND(M36=$FQ$13),"Mayor",IF(AND(M36=$FQ$14),"Catastrófico",FALSE))))))))))</f>
        <v>Catastrófico</v>
      </c>
      <c r="O36" s="509" t="str">
        <f>IF(AND(N36="Leve"),"20%",IF(AND(N36="Menor"),"40%",IF(AND(N36="Moderado"),"60%",IF(AND(N36="Mayor"),"80%",IF(AND(N36="Catastrófico"),"100%","")))))</f>
        <v>100%</v>
      </c>
      <c r="P36" s="496" t="str">
        <f>INDEX('[2]MATRIZ RIESGO'!$D$6:$H$10,MATCH(K36,'[2]MATRIZ RIESGO'!$C$6:$C$10,),MATCH(N36,'[2]MATRIZ RIESGO'!$D$5:$H$5,))</f>
        <v>Extremo</v>
      </c>
      <c r="Q36" s="572">
        <v>1</v>
      </c>
      <c r="R36" s="130" t="s">
        <v>783</v>
      </c>
      <c r="S36" s="178" t="s">
        <v>242</v>
      </c>
      <c r="T36" s="178" t="s">
        <v>174</v>
      </c>
      <c r="U36" s="178" t="s">
        <v>153</v>
      </c>
      <c r="V36" s="178" t="str">
        <f>IF(AND(T36=$FS$2,U36=$FT$2),"50%",IF(AND(T36=$FS$2,U36=$FT$3),"40%",IF(AND(T36=$FS$3,U36=$FT$2),"40%",IF(AND(T36=$FS$3,U36=$FT$3),"30%",IF(AND(T36=$FS$4,U36=$FT$2),"35%",IF(AND(T36=$FS$4,U36=$FT$3),"25%",""))))))</f>
        <v>25%</v>
      </c>
      <c r="W36" s="178" t="s">
        <v>154</v>
      </c>
      <c r="X36" s="178" t="s">
        <v>155</v>
      </c>
      <c r="Y36" s="178" t="s">
        <v>156</v>
      </c>
      <c r="Z36" s="131" t="str">
        <f>IFERROR(IF(S36="Probabilidad",(L36-(+L36*V36)),IF(S36="Impacto",L36,"")),"")</f>
        <v>20%</v>
      </c>
      <c r="AA36" s="218">
        <f>LOOKUP(2,1/(Z36:Z41&lt;&gt;""),Z36:Z41)</f>
        <v>0.12</v>
      </c>
      <c r="AB36" s="218">
        <f>AA36*1</f>
        <v>0.12</v>
      </c>
      <c r="AC36" s="496" t="str">
        <f>IF(AND(AB36&lt;=20%),"Muy Baja",IF(AND(AB36&gt;=21%,AB36&lt;=40%),"Baja",IF(AND(AB36&gt;=41%,AB36&lt;=60%),"Media",IF(AND(AB36&gt;=61%,AB36&lt;=80%),"Alta",IF(AND(AB36&gt;=81%,AB36&gt;=100%),"Muy Alta",FALSE)))))</f>
        <v>Muy Baja</v>
      </c>
      <c r="AD36" s="182">
        <f>IFERROR(IF(S36="Impacto",(O36-(+O36*V36)),IF(S36="Probabilidad",O36,"")),"")</f>
        <v>0.75</v>
      </c>
      <c r="AE36" s="218">
        <f>LOOKUP(2,1/(AD36:AD41&lt;&gt;""),AD36:AD41)</f>
        <v>0.75</v>
      </c>
      <c r="AF36" s="218">
        <f>AE36*1</f>
        <v>0.75</v>
      </c>
      <c r="AG36" s="496" t="str">
        <f>CHOOSE((AF36&gt;=0%)+(AF36&gt;=21%)+(AF36&gt;=41%)+(AF36&gt;=61%)+(AF36&gt;=81%),"Leve","Menor","Moderado","Mayor","Catastrófico")</f>
        <v>Mayor</v>
      </c>
      <c r="AH36" s="496" t="str">
        <f>INDEX('[2]MATRIZ RIESGO'!$D$6:$H$10,MATCH(AC36,'[2]MATRIZ RIESGO'!$C$6:$C$10,),MATCH(AG36,'[2]MATRIZ RIESGO'!$D$5:$H$5,))</f>
        <v>Alto</v>
      </c>
      <c r="AI36" s="496" t="s">
        <v>77</v>
      </c>
      <c r="AJ36" s="172"/>
      <c r="AK36" s="172"/>
      <c r="AL36" s="163"/>
      <c r="AM36" s="163"/>
      <c r="AN36" s="172"/>
      <c r="AO36" s="172"/>
      <c r="AP36" s="496" t="s">
        <v>281</v>
      </c>
      <c r="AQ36" s="539" t="s">
        <v>113</v>
      </c>
      <c r="FM36" s="89"/>
      <c r="FQ36" s="80"/>
    </row>
    <row r="37" spans="1:173" s="78" customFormat="1" ht="13.5" customHeight="1" x14ac:dyDescent="0.25">
      <c r="A37" s="447"/>
      <c r="B37" s="570" t="s">
        <v>88</v>
      </c>
      <c r="C37" s="325"/>
      <c r="D37" s="441"/>
      <c r="E37" s="441"/>
      <c r="F37" s="441"/>
      <c r="G37" s="438"/>
      <c r="H37" s="200"/>
      <c r="I37" s="507"/>
      <c r="J37" s="573"/>
      <c r="K37" s="497"/>
      <c r="L37" s="497"/>
      <c r="M37" s="497"/>
      <c r="N37" s="497"/>
      <c r="O37" s="510"/>
      <c r="P37" s="497"/>
      <c r="Q37" s="572">
        <v>2</v>
      </c>
      <c r="R37" s="130" t="s">
        <v>784</v>
      </c>
      <c r="S37" s="178" t="s">
        <v>237</v>
      </c>
      <c r="T37" s="178" t="s">
        <v>152</v>
      </c>
      <c r="U37" s="178" t="s">
        <v>153</v>
      </c>
      <c r="V37" s="178" t="str">
        <f>IF(AND(T37=$FS$2,U37=$FT$2),"50%",IF(AND(T37=$FS$2,U37=$FT$3),"40%",IF(AND(T37=$FS$3,U37=$FT$2),"40%",IF(AND(T37=$FS$3,U37=$FT$3),"30%",IF(AND(T37=$FS$4,U37=$FT$2),"35%",IF(AND(T37=$FS$4,U37=$FT$3),"25%",""))))))</f>
        <v>40%</v>
      </c>
      <c r="W37" s="178" t="s">
        <v>161</v>
      </c>
      <c r="X37" s="178" t="s">
        <v>155</v>
      </c>
      <c r="Y37" s="178" t="s">
        <v>156</v>
      </c>
      <c r="Z37" s="131">
        <f>IFERROR(IF(AND(S36="Probabilidad",S37="Probabilidad"),(Z36-(+Z36*V37)),IF(S37="Probabilidad",(L36-(+L36*V37)),IF(S37="Impacto",Z36,""))),"")</f>
        <v>0.12</v>
      </c>
      <c r="AA37" s="219"/>
      <c r="AB37" s="219"/>
      <c r="AC37" s="497"/>
      <c r="AD37" s="182">
        <f>IFERROR(IF(AND(S36="Impacto",V37="Impacto"),(AD36-(+AD36*V37)),IF(S37="Impacto",(O36-(+O36*V37)),IF(S37="Probabilidad",AD36,""))),"")</f>
        <v>0.75</v>
      </c>
      <c r="AE37" s="219"/>
      <c r="AF37" s="219"/>
      <c r="AG37" s="497"/>
      <c r="AH37" s="497"/>
      <c r="AI37" s="497"/>
      <c r="AJ37" s="172"/>
      <c r="AK37" s="172"/>
      <c r="AL37" s="163"/>
      <c r="AM37" s="172"/>
      <c r="AN37" s="172"/>
      <c r="AO37" s="172"/>
      <c r="AP37" s="497"/>
      <c r="AQ37" s="537"/>
      <c r="FM37" s="89"/>
    </row>
    <row r="38" spans="1:173" s="78" customFormat="1" ht="13.5" customHeight="1" x14ac:dyDescent="0.25">
      <c r="A38" s="447"/>
      <c r="B38" s="570" t="s">
        <v>88</v>
      </c>
      <c r="C38" s="325"/>
      <c r="D38" s="441"/>
      <c r="E38" s="441"/>
      <c r="F38" s="441"/>
      <c r="G38" s="438"/>
      <c r="H38" s="200"/>
      <c r="I38" s="507"/>
      <c r="J38" s="573"/>
      <c r="K38" s="497"/>
      <c r="L38" s="497"/>
      <c r="M38" s="497"/>
      <c r="N38" s="497"/>
      <c r="O38" s="510"/>
      <c r="P38" s="497"/>
      <c r="Q38" s="572"/>
      <c r="R38" s="130"/>
      <c r="S38" s="178"/>
      <c r="T38" s="178"/>
      <c r="U38" s="178"/>
      <c r="V38" s="178" t="str">
        <f>IF(AND(T38=$FS$2,U38=$FT$2),"50%",IF(AND(T38=$FS$2,U38=$FT$3),"40%",IF(AND(T38=$FS$3,U38=$FT$2),"40%",IF(AND(T38=$FS$3,U38=$FT$3),"30%",IF(AND(T38=$FS$4,U38=$FT$2),"35%",IF(AND(T38=$FS$4,U38=$FT$3),"25%",""))))))</f>
        <v/>
      </c>
      <c r="W38" s="178" t="s">
        <v>161</v>
      </c>
      <c r="X38" s="178" t="s">
        <v>155</v>
      </c>
      <c r="Y38" s="178" t="s">
        <v>156</v>
      </c>
      <c r="Z38" s="131" t="str">
        <f>IFERROR(IF(AND(S37="Probabilidad",S38="Probabilidad"),(Z37-(+Z37*V38)),IF(S38="Probabilidad",(L37-(+L37*V38)),IF(S38="Impacto",Z37,""))),"")</f>
        <v/>
      </c>
      <c r="AA38" s="219"/>
      <c r="AB38" s="219"/>
      <c r="AC38" s="497"/>
      <c r="AD38" s="182" t="str">
        <f>IFERROR(IF(AND(S37="Impacto",V38="Impacto"),(AD37-(+AD37*V38)),IF(S38="Impacto",(O37-(+O37*V38)),IF(S38="Probabilidad",AD37,""))),"")</f>
        <v/>
      </c>
      <c r="AE38" s="219"/>
      <c r="AF38" s="219"/>
      <c r="AG38" s="497"/>
      <c r="AH38" s="497"/>
      <c r="AI38" s="497"/>
      <c r="AJ38" s="172"/>
      <c r="AK38" s="172"/>
      <c r="AL38" s="163"/>
      <c r="AM38" s="172"/>
      <c r="AN38" s="172"/>
      <c r="AO38" s="172"/>
      <c r="AP38" s="497"/>
      <c r="AQ38" s="537"/>
      <c r="FM38" s="89"/>
    </row>
    <row r="39" spans="1:173" s="78" customFormat="1" ht="13.5" customHeight="1" x14ac:dyDescent="0.25">
      <c r="A39" s="447"/>
      <c r="B39" s="570" t="s">
        <v>88</v>
      </c>
      <c r="C39" s="325"/>
      <c r="D39" s="441"/>
      <c r="E39" s="441"/>
      <c r="F39" s="441"/>
      <c r="G39" s="438"/>
      <c r="H39" s="200"/>
      <c r="I39" s="507"/>
      <c r="J39" s="573"/>
      <c r="K39" s="497"/>
      <c r="L39" s="497"/>
      <c r="M39" s="497"/>
      <c r="N39" s="497"/>
      <c r="O39" s="510"/>
      <c r="P39" s="497"/>
      <c r="Q39" s="572"/>
      <c r="R39" s="130"/>
      <c r="S39" s="178"/>
      <c r="T39" s="178"/>
      <c r="U39" s="178"/>
      <c r="V39" s="178" t="str">
        <f>IF(AND(T39=$FS$2,U39=$FT$2),"50%",IF(AND(T39=$FS$2,U39=$FT$3),"40%",IF(AND(T39=$FS$3,U39=$FT$2),"40%",IF(AND(T39=$FS$3,U39=$FT$3),"30%",IF(AND(T39=$FS$4,U39=$FT$2),"35%",IF(AND(T39=$FS$4,U39=$FT$3),"25%",""))))))</f>
        <v/>
      </c>
      <c r="W39" s="178"/>
      <c r="X39" s="178"/>
      <c r="Y39" s="178"/>
      <c r="Z39" s="131" t="str">
        <f>IFERROR(IF(AND(S38="Probabilidad",S39="Probabilidad"),(Z38-(+Z38*V39)),IF(S39="Probabilidad",(L38-(+L38*V39)),IF(S39="Impacto",Z38,""))),"")</f>
        <v/>
      </c>
      <c r="AA39" s="219"/>
      <c r="AB39" s="219"/>
      <c r="AC39" s="497"/>
      <c r="AD39" s="182" t="str">
        <f>IFERROR(IF(AND(S38="Impacto",V39="Impacto"),(AD38-(+AD38*V39)),IF(S39="Impacto",(O38-(+O38*V39)),IF(S39="Probabilidad",AD38,""))),"")</f>
        <v/>
      </c>
      <c r="AE39" s="219"/>
      <c r="AF39" s="219"/>
      <c r="AG39" s="497"/>
      <c r="AH39" s="497"/>
      <c r="AI39" s="497"/>
      <c r="AJ39" s="172"/>
      <c r="AK39" s="172"/>
      <c r="AL39" s="163"/>
      <c r="AM39" s="172"/>
      <c r="AN39" s="172"/>
      <c r="AO39" s="172"/>
      <c r="AP39" s="497"/>
      <c r="AQ39" s="537"/>
      <c r="FM39" s="89"/>
    </row>
    <row r="40" spans="1:173" s="78" customFormat="1" ht="13.5" customHeight="1" x14ac:dyDescent="0.25">
      <c r="A40" s="447"/>
      <c r="B40" s="570" t="s">
        <v>88</v>
      </c>
      <c r="C40" s="325"/>
      <c r="D40" s="441"/>
      <c r="E40" s="441"/>
      <c r="F40" s="441"/>
      <c r="G40" s="438"/>
      <c r="H40" s="200"/>
      <c r="I40" s="507"/>
      <c r="J40" s="573"/>
      <c r="K40" s="497"/>
      <c r="L40" s="497"/>
      <c r="M40" s="497"/>
      <c r="N40" s="497"/>
      <c r="O40" s="510"/>
      <c r="P40" s="497"/>
      <c r="Q40" s="572"/>
      <c r="R40" s="130"/>
      <c r="S40" s="178"/>
      <c r="T40" s="178"/>
      <c r="U40" s="178"/>
      <c r="V40" s="178" t="str">
        <f>IF(AND(T40=$FS$2,U40=$FT$2),"50%",IF(AND(T40=$FS$2,U40=$FT$3),"40%",IF(AND(T40=$FS$3,U40=$FT$2),"40%",IF(AND(T40=$FS$3,U40=$FT$3),"30%",IF(AND(T40=$FS$4,U40=$FT$2),"35%",IF(AND(T40=$FS$4,U40=$FT$3),"25%",""))))))</f>
        <v/>
      </c>
      <c r="W40" s="178"/>
      <c r="X40" s="178"/>
      <c r="Y40" s="178"/>
      <c r="Z40" s="131" t="str">
        <f>IFERROR(IF(AND(S39="Probabilidad",S40="Probabilidad"),(Z39-(+Z39*V40)),IF(S40="Probabilidad",(L39-(+L39*V40)),IF(S40="Impacto",Z39,""))),"")</f>
        <v/>
      </c>
      <c r="AA40" s="219"/>
      <c r="AB40" s="219"/>
      <c r="AC40" s="497"/>
      <c r="AD40" s="182" t="str">
        <f>IFERROR(IF(AND(S39="Impacto",V40="Impacto"),(AD39-(+AD39*V40)),IF(S40="Impacto",(O39-(+O39*V40)),IF(S40="Probabilidad",AD39,""))),"")</f>
        <v/>
      </c>
      <c r="AE40" s="219"/>
      <c r="AF40" s="219"/>
      <c r="AG40" s="497"/>
      <c r="AH40" s="497"/>
      <c r="AI40" s="497"/>
      <c r="AJ40" s="172"/>
      <c r="AK40" s="172"/>
      <c r="AL40" s="163"/>
      <c r="AM40" s="172"/>
      <c r="AN40" s="172"/>
      <c r="AO40" s="172"/>
      <c r="AP40" s="497"/>
      <c r="AQ40" s="537"/>
      <c r="FM40" s="89"/>
    </row>
    <row r="41" spans="1:173" s="78" customFormat="1" ht="13.5" customHeight="1" x14ac:dyDescent="0.25">
      <c r="A41" s="460"/>
      <c r="B41" s="570" t="s">
        <v>88</v>
      </c>
      <c r="C41" s="459"/>
      <c r="D41" s="458"/>
      <c r="E41" s="458"/>
      <c r="F41" s="458"/>
      <c r="G41" s="457"/>
      <c r="H41" s="201"/>
      <c r="I41" s="508"/>
      <c r="J41" s="574"/>
      <c r="K41" s="498"/>
      <c r="L41" s="498"/>
      <c r="M41" s="498"/>
      <c r="N41" s="498"/>
      <c r="O41" s="511"/>
      <c r="P41" s="498"/>
      <c r="Q41" s="572"/>
      <c r="R41" s="130"/>
      <c r="S41" s="178"/>
      <c r="T41" s="178"/>
      <c r="U41" s="178"/>
      <c r="V41" s="178" t="str">
        <f>IF(AND(T41=$FS$2,U41=$FT$2),"50%",IF(AND(T41=$FS$2,U41=$FT$3),"40%",IF(AND(T41=$FS$3,U41=$FT$2),"40%",IF(AND(T41=$FS$3,U41=$FT$3),"30%",IF(AND(T41=$FS$4,U41=$FT$2),"35%",IF(AND(T41=$FS$4,U41=$FT$3),"25%",""))))))</f>
        <v/>
      </c>
      <c r="W41" s="178"/>
      <c r="X41" s="178"/>
      <c r="Y41" s="178"/>
      <c r="Z41" s="131" t="str">
        <f>IFERROR(IF(AND(S40="Probabilidad",S41="Probabilidad"),(Z40-(+Z40*V41)),IF(S41="Probabilidad",(L40-(+L40*V41)),IF(S41="Impacto",Z40,""))),"")</f>
        <v/>
      </c>
      <c r="AA41" s="220"/>
      <c r="AB41" s="220"/>
      <c r="AC41" s="498"/>
      <c r="AD41" s="182" t="str">
        <f>IFERROR(IF(AND(S40="Impacto",V41="Impacto"),(AD40-(+AD40*V41)),IF(S41="Impacto",(O40-(+O40*V41)),IF(S41="Probabilidad",AD40,""))),"")</f>
        <v/>
      </c>
      <c r="AE41" s="220"/>
      <c r="AF41" s="220"/>
      <c r="AG41" s="498"/>
      <c r="AH41" s="498"/>
      <c r="AI41" s="498"/>
      <c r="AJ41" s="172"/>
      <c r="AK41" s="172"/>
      <c r="AL41" s="163"/>
      <c r="AM41" s="172"/>
      <c r="AN41" s="172"/>
      <c r="AO41" s="172"/>
      <c r="AP41" s="498"/>
      <c r="AQ41" s="538"/>
      <c r="FM41" s="89"/>
      <c r="FQ41" s="79"/>
    </row>
    <row r="42" spans="1:173" s="78" customFormat="1" ht="13.5" customHeight="1" x14ac:dyDescent="0.25">
      <c r="A42" s="446">
        <v>8</v>
      </c>
      <c r="B42" s="570" t="s">
        <v>88</v>
      </c>
      <c r="C42" s="444" t="s">
        <v>233</v>
      </c>
      <c r="D42" s="440" t="s">
        <v>293</v>
      </c>
      <c r="E42" s="440" t="s">
        <v>294</v>
      </c>
      <c r="F42" s="440" t="s">
        <v>282</v>
      </c>
      <c r="G42" s="437" t="s">
        <v>149</v>
      </c>
      <c r="H42" s="199" t="s">
        <v>150</v>
      </c>
      <c r="I42" s="527" t="s">
        <v>151</v>
      </c>
      <c r="J42" s="571">
        <v>3</v>
      </c>
      <c r="K42" s="496" t="str">
        <f>IF(AND(J42&lt;=2),"Muy Baja",IF(AND(J42&gt;=3,J42&lt;=23),"Baja",IF(AND(J42&gt;=24,J42&lt;=499),"Media",IF(AND(J42&gt;=500,J42&lt;=4999),"Alta",IF(AND(J42&gt;=5000),"Muy Alta",FALSE)))))</f>
        <v>Baja</v>
      </c>
      <c r="L42" s="496" t="str">
        <f>IF(AND(J42&lt;=2),"20%",IF(AND(J42&gt;=3,J42&lt;=23),"40%",IF(AND(J42&gt;=24,J42&lt;=499),"60%",IF(AND(J42&gt;=500,J42&lt;=4999),"80%",IF(AND(J42&gt;=5000),"100%",FALSE)))))</f>
        <v>40%</v>
      </c>
      <c r="M42" s="496" t="s">
        <v>235</v>
      </c>
      <c r="N42" s="496" t="str">
        <f>IF(AND(M42=$FQ$4),"Leve",IF(AND(M42=$FQ$5),"Menor",IF(AND(M42=$FQ$6),"Moderado",IF(AND(M42=$FQ$7),"mayor",IF(AND(M42=$FQ$8),"Catastrófico",IF(AND(M42=$FQ$10),"Leve",IF(AND(M42=$FQ$11),"Menor",IF(AND(M42=$FQ$12),"Moderado",IF(AND(M42=$FQ$13),"Mayor",IF(AND(M42=$FQ$14),"Catastrófico",FALSE))))))))))</f>
        <v>Catastrófico</v>
      </c>
      <c r="O42" s="509" t="str">
        <f>IF(AND(N42="Leve"),"20%",IF(AND(N42="Menor"),"40%",IF(AND(N42="Moderado"),"60%",IF(AND(N42="Mayor"),"80%",IF(AND(N42="Catastrófico"),"100%","")))))</f>
        <v>100%</v>
      </c>
      <c r="P42" s="496" t="str">
        <f>INDEX('[2]MATRIZ RIESGO'!$D$6:$H$10,MATCH(K42,'[2]MATRIZ RIESGO'!$C$6:$C$10,),MATCH(N42,'[2]MATRIZ RIESGO'!$D$5:$H$5,))</f>
        <v>Extremo</v>
      </c>
      <c r="Q42" s="572">
        <v>1</v>
      </c>
      <c r="R42" s="130" t="s">
        <v>785</v>
      </c>
      <c r="S42" s="178" t="s">
        <v>237</v>
      </c>
      <c r="T42" s="178" t="s">
        <v>152</v>
      </c>
      <c r="U42" s="178" t="s">
        <v>153</v>
      </c>
      <c r="V42" s="178" t="str">
        <f>IF(AND(T42=$FS$2,U42=$FT$2),"50%",IF(AND(T42=$FS$2,U42=$FT$3),"40%",IF(AND(T42=$FS$3,U42=$FT$2),"40%",IF(AND(T42=$FS$3,U42=$FT$3),"30%",IF(AND(T42=$FS$4,U42=$FT$2),"35%",IF(AND(T42=$FS$4,U42=$FT$3),"25%",""))))))</f>
        <v>40%</v>
      </c>
      <c r="W42" s="178" t="s">
        <v>154</v>
      </c>
      <c r="X42" s="178" t="s">
        <v>155</v>
      </c>
      <c r="Y42" s="178" t="s">
        <v>156</v>
      </c>
      <c r="Z42" s="131">
        <f>IFERROR(IF(S42="Probabilidad",(L42-(+L42*V42)),IF(S42="Impacto",L42,"")),"")</f>
        <v>0.24</v>
      </c>
      <c r="AA42" s="218">
        <f>LOOKUP(2,1/(Z42:Z47&lt;&gt;""),Z42:Z47)</f>
        <v>0.24</v>
      </c>
      <c r="AB42" s="218">
        <f>AA42*1</f>
        <v>0.24</v>
      </c>
      <c r="AC42" s="496" t="str">
        <f>IF(AND(AB42&lt;=20%),"Muy Baja",IF(AND(AB42&gt;=21%,AB42&lt;=40%),"Baja",IF(AND(AB42&gt;=41%,AB42&lt;=60%),"Media",IF(AND(AB42&gt;=61%,AB42&lt;=80%),"Alta",IF(AND(AB42&gt;=81%,AB42&gt;=100%),"Muy Alta",FALSE)))))</f>
        <v>Baja</v>
      </c>
      <c r="AD42" s="182" t="str">
        <f>IFERROR(IF(S42="Impacto",(O42-(+O42*V42)),IF(S42="Probabilidad",O42,"")),"")</f>
        <v>100%</v>
      </c>
      <c r="AE42" s="218" t="str">
        <f>LOOKUP(2,1/(AD42:AD47&lt;&gt;""),AD42:AD47)</f>
        <v>100%</v>
      </c>
      <c r="AF42" s="218">
        <f>AE42*1</f>
        <v>1</v>
      </c>
      <c r="AG42" s="496" t="str">
        <f>CHOOSE((AF42&gt;=0%)+(AF42&gt;=21%)+(AF42&gt;=41%)+(AF42&gt;=61%)+(AF42&gt;=81%),"Leve","Menor","Moderado","Mayor","Catastrófico")</f>
        <v>Catastrófico</v>
      </c>
      <c r="AH42" s="496" t="str">
        <f>INDEX('[2]MATRIZ RIESGO'!$D$6:$H$10,MATCH(AC42,'[2]MATRIZ RIESGO'!$C$6:$C$10,),MATCH(AG42,'[2]MATRIZ RIESGO'!$D$5:$H$5,))</f>
        <v>Extremo</v>
      </c>
      <c r="AI42" s="496" t="s">
        <v>77</v>
      </c>
      <c r="AJ42" s="172"/>
      <c r="AK42" s="172"/>
      <c r="AL42" s="163"/>
      <c r="AM42" s="163"/>
      <c r="AN42" s="172"/>
      <c r="AO42" s="172"/>
      <c r="AP42" s="496" t="s">
        <v>284</v>
      </c>
      <c r="AQ42" s="539" t="s">
        <v>113</v>
      </c>
      <c r="FM42" s="89"/>
      <c r="FQ42" s="80"/>
    </row>
    <row r="43" spans="1:173" s="78" customFormat="1" ht="13.5" customHeight="1" x14ac:dyDescent="0.25">
      <c r="A43" s="447"/>
      <c r="B43" s="570" t="s">
        <v>88</v>
      </c>
      <c r="C43" s="325"/>
      <c r="D43" s="441"/>
      <c r="E43" s="441"/>
      <c r="F43" s="441"/>
      <c r="G43" s="438"/>
      <c r="H43" s="200"/>
      <c r="I43" s="507"/>
      <c r="J43" s="573"/>
      <c r="K43" s="497"/>
      <c r="L43" s="497"/>
      <c r="M43" s="497"/>
      <c r="N43" s="497"/>
      <c r="O43" s="510"/>
      <c r="P43" s="497"/>
      <c r="Q43" s="572"/>
      <c r="R43" s="130"/>
      <c r="S43" s="178"/>
      <c r="T43" s="178"/>
      <c r="U43" s="178"/>
      <c r="V43" s="178" t="str">
        <f>IF(AND(T43=$FS$2,U43=$FT$2),"50%",IF(AND(T43=$FS$2,U43=$FT$3),"40%",IF(AND(T43=$FS$3,U43=$FT$2),"40%",IF(AND(T43=$FS$3,U43=$FT$3),"30%",IF(AND(T43=$FS$4,U43=$FT$2),"35%",IF(AND(T43=$FS$4,U43=$FT$3),"25%",""))))))</f>
        <v/>
      </c>
      <c r="W43" s="178" t="s">
        <v>154</v>
      </c>
      <c r="X43" s="178" t="s">
        <v>164</v>
      </c>
      <c r="Y43" s="178" t="s">
        <v>156</v>
      </c>
      <c r="Z43" s="131" t="str">
        <f>IFERROR(IF(AND(S42="Probabilidad",S43="Probabilidad"),(Z42-(+Z42*V43)),IF(S43="Probabilidad",(L42-(+L42*V43)),IF(S43="Impacto",Z42,""))),"")</f>
        <v/>
      </c>
      <c r="AA43" s="219"/>
      <c r="AB43" s="219"/>
      <c r="AC43" s="497"/>
      <c r="AD43" s="182" t="str">
        <f>IFERROR(IF(AND(S42="Impacto",V43="Impacto"),(AD42-(+AD42*V43)),IF(S43="Impacto",(O42-(+O42*V43)),IF(S43="Probabilidad",AD42,""))),"")</f>
        <v/>
      </c>
      <c r="AE43" s="219"/>
      <c r="AF43" s="219"/>
      <c r="AG43" s="497"/>
      <c r="AH43" s="497"/>
      <c r="AI43" s="497"/>
      <c r="AJ43" s="172"/>
      <c r="AK43" s="172"/>
      <c r="AL43" s="163"/>
      <c r="AM43" s="172"/>
      <c r="AN43" s="172"/>
      <c r="AO43" s="172"/>
      <c r="AP43" s="497"/>
      <c r="AQ43" s="537"/>
      <c r="FM43" s="89"/>
    </row>
    <row r="44" spans="1:173" s="78" customFormat="1" ht="13.5" customHeight="1" x14ac:dyDescent="0.25">
      <c r="A44" s="447"/>
      <c r="B44" s="570" t="s">
        <v>88</v>
      </c>
      <c r="C44" s="325"/>
      <c r="D44" s="441"/>
      <c r="E44" s="441"/>
      <c r="F44" s="441"/>
      <c r="G44" s="438"/>
      <c r="H44" s="200"/>
      <c r="I44" s="507"/>
      <c r="J44" s="573"/>
      <c r="K44" s="497"/>
      <c r="L44" s="497"/>
      <c r="M44" s="497"/>
      <c r="N44" s="497"/>
      <c r="O44" s="510"/>
      <c r="P44" s="497"/>
      <c r="Q44" s="572"/>
      <c r="R44" s="130"/>
      <c r="S44" s="178"/>
      <c r="T44" s="178"/>
      <c r="U44" s="178"/>
      <c r="V44" s="178" t="str">
        <f>IF(AND(T44=$FS$2,U44=$FT$2),"50%",IF(AND(T44=$FS$2,U44=$FT$3),"40%",IF(AND(T44=$FS$3,U44=$FT$2),"40%",IF(AND(T44=$FS$3,U44=$FT$3),"30%",IF(AND(T44=$FS$4,U44=$FT$2),"35%",IF(AND(T44=$FS$4,U44=$FT$3),"25%",""))))))</f>
        <v/>
      </c>
      <c r="W44" s="178"/>
      <c r="X44" s="178"/>
      <c r="Y44" s="178"/>
      <c r="Z44" s="131" t="str">
        <f>IFERROR(IF(AND(S43="Probabilidad",S44="Probabilidad"),(Z43-(+Z43*V44)),IF(S44="Probabilidad",(L43-(+L43*V44)),IF(S44="Impacto",Z43,""))),"")</f>
        <v/>
      </c>
      <c r="AA44" s="219"/>
      <c r="AB44" s="219"/>
      <c r="AC44" s="497"/>
      <c r="AD44" s="182" t="str">
        <f>IFERROR(IF(AND(S43="Impacto",V44="Impacto"),(AD43-(+AD43*V44)),IF(S44="Impacto",(O43-(+O43*V44)),IF(S44="Probabilidad",AD43,""))),"")</f>
        <v/>
      </c>
      <c r="AE44" s="219"/>
      <c r="AF44" s="219"/>
      <c r="AG44" s="497"/>
      <c r="AH44" s="497"/>
      <c r="AI44" s="497"/>
      <c r="AJ44" s="172"/>
      <c r="AK44" s="172"/>
      <c r="AL44" s="163"/>
      <c r="AM44" s="172"/>
      <c r="AN44" s="172"/>
      <c r="AO44" s="172"/>
      <c r="AP44" s="497"/>
      <c r="AQ44" s="537"/>
      <c r="FM44" s="89"/>
    </row>
    <row r="45" spans="1:173" s="78" customFormat="1" ht="13.5" customHeight="1" x14ac:dyDescent="0.25">
      <c r="A45" s="447"/>
      <c r="B45" s="570" t="s">
        <v>88</v>
      </c>
      <c r="C45" s="325"/>
      <c r="D45" s="441"/>
      <c r="E45" s="441"/>
      <c r="F45" s="441"/>
      <c r="G45" s="438"/>
      <c r="H45" s="200"/>
      <c r="I45" s="507"/>
      <c r="J45" s="573"/>
      <c r="K45" s="497"/>
      <c r="L45" s="497"/>
      <c r="M45" s="497"/>
      <c r="N45" s="497"/>
      <c r="O45" s="510"/>
      <c r="P45" s="497"/>
      <c r="Q45" s="572"/>
      <c r="R45" s="130"/>
      <c r="S45" s="178"/>
      <c r="T45" s="178"/>
      <c r="U45" s="178"/>
      <c r="V45" s="178" t="str">
        <f>IF(AND(T45=$FS$2,U45=$FT$2),"50%",IF(AND(T45=$FS$2,U45=$FT$3),"40%",IF(AND(T45=$FS$3,U45=$FT$2),"40%",IF(AND(T45=$FS$3,U45=$FT$3),"30%",IF(AND(T45=$FS$4,U45=$FT$2),"35%",IF(AND(T45=$FS$4,U45=$FT$3),"25%",""))))))</f>
        <v/>
      </c>
      <c r="W45" s="178"/>
      <c r="X45" s="178"/>
      <c r="Y45" s="178"/>
      <c r="Z45" s="131" t="str">
        <f>IFERROR(IF(AND(S44="Probabilidad",S45="Probabilidad"),(Z44-(+Z44*V45)),IF(S45="Probabilidad",(L44-(+L44*V45)),IF(S45="Impacto",Z44,""))),"")</f>
        <v/>
      </c>
      <c r="AA45" s="219"/>
      <c r="AB45" s="219"/>
      <c r="AC45" s="497"/>
      <c r="AD45" s="182" t="str">
        <f>IFERROR(IF(AND(S44="Impacto",V45="Impacto"),(AD44-(+AD44*V45)),IF(S45="Impacto",(O44-(+O44*V45)),IF(S45="Probabilidad",AD44,""))),"")</f>
        <v/>
      </c>
      <c r="AE45" s="219"/>
      <c r="AF45" s="219"/>
      <c r="AG45" s="497"/>
      <c r="AH45" s="497"/>
      <c r="AI45" s="497"/>
      <c r="AJ45" s="172"/>
      <c r="AK45" s="172"/>
      <c r="AL45" s="163"/>
      <c r="AM45" s="172"/>
      <c r="AN45" s="172"/>
      <c r="AO45" s="172"/>
      <c r="AP45" s="497"/>
      <c r="AQ45" s="537"/>
      <c r="FM45" s="89"/>
    </row>
    <row r="46" spans="1:173" s="78" customFormat="1" ht="13.5" customHeight="1" x14ac:dyDescent="0.25">
      <c r="A46" s="447"/>
      <c r="B46" s="570" t="s">
        <v>88</v>
      </c>
      <c r="C46" s="325"/>
      <c r="D46" s="441"/>
      <c r="E46" s="441"/>
      <c r="F46" s="441"/>
      <c r="G46" s="438"/>
      <c r="H46" s="200"/>
      <c r="I46" s="507"/>
      <c r="J46" s="573"/>
      <c r="K46" s="497"/>
      <c r="L46" s="497"/>
      <c r="M46" s="497"/>
      <c r="N46" s="497"/>
      <c r="O46" s="510"/>
      <c r="P46" s="497"/>
      <c r="Q46" s="572"/>
      <c r="R46" s="130"/>
      <c r="S46" s="178"/>
      <c r="T46" s="178"/>
      <c r="U46" s="178"/>
      <c r="V46" s="178" t="str">
        <f>IF(AND(T46=$FS$2,U46=$FT$2),"50%",IF(AND(T46=$FS$2,U46=$FT$3),"40%",IF(AND(T46=$FS$3,U46=$FT$2),"40%",IF(AND(T46=$FS$3,U46=$FT$3),"30%",IF(AND(T46=$FS$4,U46=$FT$2),"35%",IF(AND(T46=$FS$4,U46=$FT$3),"25%",""))))))</f>
        <v/>
      </c>
      <c r="W46" s="178"/>
      <c r="X46" s="178"/>
      <c r="Y46" s="178"/>
      <c r="Z46" s="131" t="str">
        <f>IFERROR(IF(AND(S45="Probabilidad",S46="Probabilidad"),(Z45-(+Z45*V46)),IF(S46="Probabilidad",(L45-(+L45*V46)),IF(S46="Impacto",Z45,""))),"")</f>
        <v/>
      </c>
      <c r="AA46" s="219"/>
      <c r="AB46" s="219"/>
      <c r="AC46" s="497"/>
      <c r="AD46" s="182" t="str">
        <f>IFERROR(IF(AND(S45="Impacto",V46="Impacto"),(AD45-(+AD45*V46)),IF(S46="Impacto",(O45-(+O45*V46)),IF(S46="Probabilidad",AD45,""))),"")</f>
        <v/>
      </c>
      <c r="AE46" s="219"/>
      <c r="AF46" s="219"/>
      <c r="AG46" s="497"/>
      <c r="AH46" s="497"/>
      <c r="AI46" s="497"/>
      <c r="AJ46" s="172"/>
      <c r="AK46" s="172"/>
      <c r="AL46" s="163"/>
      <c r="AM46" s="172"/>
      <c r="AN46" s="172"/>
      <c r="AO46" s="172"/>
      <c r="AP46" s="497"/>
      <c r="AQ46" s="537"/>
      <c r="FM46" s="89"/>
    </row>
    <row r="47" spans="1:173" s="78" customFormat="1" ht="13.5" customHeight="1" x14ac:dyDescent="0.25">
      <c r="A47" s="460"/>
      <c r="B47" s="570" t="s">
        <v>88</v>
      </c>
      <c r="C47" s="459"/>
      <c r="D47" s="458"/>
      <c r="E47" s="458"/>
      <c r="F47" s="458"/>
      <c r="G47" s="457"/>
      <c r="H47" s="201"/>
      <c r="I47" s="508"/>
      <c r="J47" s="574"/>
      <c r="K47" s="498"/>
      <c r="L47" s="498"/>
      <c r="M47" s="498"/>
      <c r="N47" s="498"/>
      <c r="O47" s="511"/>
      <c r="P47" s="498"/>
      <c r="Q47" s="572"/>
      <c r="R47" s="130"/>
      <c r="S47" s="178"/>
      <c r="T47" s="178"/>
      <c r="U47" s="178"/>
      <c r="V47" s="178" t="str">
        <f>IF(AND(T47=$FS$2,U47=$FT$2),"50%",IF(AND(T47=$FS$2,U47=$FT$3),"40%",IF(AND(T47=$FS$3,U47=$FT$2),"40%",IF(AND(T47=$FS$3,U47=$FT$3),"30%",IF(AND(T47=$FS$4,U47=$FT$2),"35%",IF(AND(T47=$FS$4,U47=$FT$3),"25%",""))))))</f>
        <v/>
      </c>
      <c r="W47" s="178"/>
      <c r="X47" s="178"/>
      <c r="Y47" s="178"/>
      <c r="Z47" s="131" t="str">
        <f>IFERROR(IF(AND(S46="Probabilidad",S47="Probabilidad"),(Z46-(+Z46*V47)),IF(S47="Probabilidad",(L46-(+L46*V47)),IF(S47="Impacto",Z46,""))),"")</f>
        <v/>
      </c>
      <c r="AA47" s="220"/>
      <c r="AB47" s="220"/>
      <c r="AC47" s="498"/>
      <c r="AD47" s="182" t="str">
        <f>IFERROR(IF(AND(S46="Impacto",V47="Impacto"),(AD46-(+AD46*V47)),IF(S47="Impacto",(O46-(+O46*V47)),IF(S47="Probabilidad",AD46,""))),"")</f>
        <v/>
      </c>
      <c r="AE47" s="220"/>
      <c r="AF47" s="220"/>
      <c r="AG47" s="498"/>
      <c r="AH47" s="498"/>
      <c r="AI47" s="498"/>
      <c r="AJ47" s="172"/>
      <c r="AK47" s="172"/>
      <c r="AL47" s="163"/>
      <c r="AM47" s="172"/>
      <c r="AN47" s="172"/>
      <c r="AO47" s="172"/>
      <c r="AP47" s="498"/>
      <c r="AQ47" s="538"/>
      <c r="FM47" s="89"/>
      <c r="FQ47" s="79"/>
    </row>
    <row r="48" spans="1:173" s="78" customFormat="1" ht="13.5" customHeight="1" x14ac:dyDescent="0.25">
      <c r="A48" s="446">
        <v>9</v>
      </c>
      <c r="B48" s="570" t="s">
        <v>88</v>
      </c>
      <c r="C48" s="444" t="s">
        <v>248</v>
      </c>
      <c r="D48" s="440" t="s">
        <v>786</v>
      </c>
      <c r="E48" s="440" t="s">
        <v>787</v>
      </c>
      <c r="F48" s="440" t="s">
        <v>788</v>
      </c>
      <c r="G48" s="437" t="s">
        <v>149</v>
      </c>
      <c r="H48" s="199" t="s">
        <v>150</v>
      </c>
      <c r="I48" s="527" t="s">
        <v>151</v>
      </c>
      <c r="J48" s="571">
        <f>16*12</f>
        <v>192</v>
      </c>
      <c r="K48" s="496" t="str">
        <f>IF(AND(J48&lt;=2),"Muy Baja",IF(AND(J48&gt;=3,J48&lt;=23),"Baja",IF(AND(J48&gt;=24,J48&lt;=499),"Media",IF(AND(J48&gt;=500,J48&lt;=4999),"Alta",IF(AND(J48&gt;=5000),"Muy Alta",FALSE)))))</f>
        <v>Media</v>
      </c>
      <c r="L48" s="496" t="str">
        <f>IF(AND(J48&lt;=2),"20%",IF(AND(J48&gt;=3,J48&lt;=23),"40%",IF(AND(J48&gt;=24,J48&lt;=499),"60%",IF(AND(J48&gt;=500,J48&lt;=4999),"80%",IF(AND(J48&gt;=5000),"100%",FALSE)))))</f>
        <v>60%</v>
      </c>
      <c r="M48" s="496" t="s">
        <v>162</v>
      </c>
      <c r="N48" s="496" t="str">
        <f>IF(AND(M48=$FQ$4),"Leve",IF(AND(M48=$FQ$5),"Menor",IF(AND(M48=$FQ$6),"Moderado",IF(AND(M48=$FQ$7),"mayor",IF(AND(M48=$FQ$8),"Catastrófico",IF(AND(M48=$FQ$10),"Leve",IF(AND(M48=$FQ$11),"Menor",IF(AND(M48=$FQ$12),"Moderado",IF(AND(M48=$FQ$13),"Mayor",IF(AND(M48=$FQ$14),"Catastrófico",FALSE))))))))))</f>
        <v>Moderado</v>
      </c>
      <c r="O48" s="509" t="str">
        <f>IF(AND(N48="Leve"),"20%",IF(AND(N48="Menor"),"40%",IF(AND(N48="Moderado"),"60%",IF(AND(N48="Mayor"),"80%",IF(AND(N48="Catastrófico"),"100%","")))))</f>
        <v>60%</v>
      </c>
      <c r="P48" s="496" t="str">
        <f>INDEX('[2]MATRIZ RIESGO'!$D$6:$H$10,MATCH(K48,'[2]MATRIZ RIESGO'!$C$6:$C$10,),MATCH(N48,'[2]MATRIZ RIESGO'!$D$5:$H$5,))</f>
        <v>Moderado</v>
      </c>
      <c r="Q48" s="572">
        <v>1</v>
      </c>
      <c r="R48" s="130" t="s">
        <v>789</v>
      </c>
      <c r="S48" s="178" t="s">
        <v>237</v>
      </c>
      <c r="T48" s="178" t="s">
        <v>152</v>
      </c>
      <c r="U48" s="178" t="s">
        <v>153</v>
      </c>
      <c r="V48" s="178" t="str">
        <f>IF(AND(T48=$FS$2,U48=$FT$2),"50%",IF(AND(T48=$FS$2,U48=$FT$3),"40%",IF(AND(T48=$FS$3,U48=$FT$2),"40%",IF(AND(T48=$FS$3,U48=$FT$3),"30%",IF(AND(T48=$FS$4,U48=$FT$2),"35%",IF(AND(T48=$FS$4,U48=$FT$3),"25%",""))))))</f>
        <v>40%</v>
      </c>
      <c r="W48" s="178" t="s">
        <v>154</v>
      </c>
      <c r="X48" s="178" t="s">
        <v>164</v>
      </c>
      <c r="Y48" s="178" t="s">
        <v>156</v>
      </c>
      <c r="Z48" s="131">
        <f>IFERROR(IF(S48="Probabilidad",(L48-(+L48*V48)),IF(S48="Impacto",L48,"")),"")</f>
        <v>0.36</v>
      </c>
      <c r="AA48" s="218">
        <f>LOOKUP(2,1/(Z48:Z53&lt;&gt;""),Z48:Z53)</f>
        <v>0.36</v>
      </c>
      <c r="AB48" s="218">
        <f>AA48*1</f>
        <v>0.36</v>
      </c>
      <c r="AC48" s="496" t="str">
        <f>IF(AND(AB48&lt;=20%),"Muy Baja",IF(AND(AB48&gt;=21%,AB48&lt;=40%),"Baja",IF(AND(AB48&gt;=41%,AB48&lt;=60%),"Media",IF(AND(AB48&gt;=61%,AB48&lt;=80%),"Alta",IF(AND(AB48&gt;=81%,AB48&gt;=100%),"Muy Alta",FALSE)))))</f>
        <v>Baja</v>
      </c>
      <c r="AD48" s="182" t="str">
        <f>IFERROR(IF(S48="Impacto",(O48-(+O48*V48)),IF(S48="Probabilidad",O48,"")),"")</f>
        <v>60%</v>
      </c>
      <c r="AE48" s="218" t="str">
        <f>LOOKUP(2,1/(AD48:AD53&lt;&gt;""),AD48:AD53)</f>
        <v>60%</v>
      </c>
      <c r="AF48" s="218">
        <f>AE48*1</f>
        <v>0.6</v>
      </c>
      <c r="AG48" s="496" t="str">
        <f>CHOOSE((AF48&gt;=0%)+(AF48&gt;=21%)+(AF48&gt;=41%)+(AF48&gt;=61%)+(AF48&gt;=81%),"Leve","Menor","Moderado","Mayor","Catastrófico")</f>
        <v>Moderado</v>
      </c>
      <c r="AH48" s="496" t="str">
        <f>INDEX('[2]MATRIZ RIESGO'!$D$6:$H$10,MATCH(AC48,'[2]MATRIZ RIESGO'!$C$6:$C$10,),MATCH(AG48,'[2]MATRIZ RIESGO'!$D$5:$H$5,))</f>
        <v>Moderado</v>
      </c>
      <c r="AI48" s="496" t="s">
        <v>111</v>
      </c>
      <c r="AJ48" s="172"/>
      <c r="AK48" s="172"/>
      <c r="AL48" s="163"/>
      <c r="AM48" s="172"/>
      <c r="AN48" s="172"/>
      <c r="AO48" s="172"/>
      <c r="AP48" s="496" t="s">
        <v>285</v>
      </c>
      <c r="AQ48" s="539" t="s">
        <v>113</v>
      </c>
      <c r="FM48" s="89"/>
      <c r="FQ48" s="80"/>
    </row>
    <row r="49" spans="1:173" s="78" customFormat="1" ht="13.5" customHeight="1" x14ac:dyDescent="0.25">
      <c r="A49" s="447"/>
      <c r="B49" s="570" t="s">
        <v>88</v>
      </c>
      <c r="C49" s="325"/>
      <c r="D49" s="441"/>
      <c r="E49" s="441"/>
      <c r="F49" s="441"/>
      <c r="G49" s="438"/>
      <c r="H49" s="200"/>
      <c r="I49" s="507"/>
      <c r="J49" s="573"/>
      <c r="K49" s="497"/>
      <c r="L49" s="497"/>
      <c r="M49" s="497"/>
      <c r="N49" s="497"/>
      <c r="O49" s="510"/>
      <c r="P49" s="497"/>
      <c r="Q49" s="572"/>
      <c r="R49" s="130"/>
      <c r="S49" s="178"/>
      <c r="T49" s="178"/>
      <c r="U49" s="178"/>
      <c r="V49" s="178" t="str">
        <f>IF(AND(T49=$FS$2,U49=$FT$2),"50%",IF(AND(T49=$FS$2,U49=$FT$3),"40%",IF(AND(T49=$FS$3,U49=$FT$2),"40%",IF(AND(T49=$FS$3,U49=$FT$3),"30%",IF(AND(T49=$FS$4,U49=$FT$2),"35%",IF(AND(T49=$FS$4,U49=$FT$3),"25%",""))))))</f>
        <v/>
      </c>
      <c r="W49" s="178"/>
      <c r="X49" s="178"/>
      <c r="Y49" s="178"/>
      <c r="Z49" s="131" t="str">
        <f>IFERROR(IF(AND(S48="Probabilidad",S49="Probabilidad"),(Z48-(+Z48*V49)),IF(S49="Probabilidad",(L48-(+L48*V49)),IF(S49="Impacto",Z48,""))),"")</f>
        <v/>
      </c>
      <c r="AA49" s="219"/>
      <c r="AB49" s="219"/>
      <c r="AC49" s="497"/>
      <c r="AD49" s="182" t="str">
        <f>IFERROR(IF(AND(S48="Impacto",V49="Impacto"),(AD48-(+AD48*V49)),IF(S49="Impacto",(O48-(+O48*V49)),IF(S49="Probabilidad",AD48,""))),"")</f>
        <v/>
      </c>
      <c r="AE49" s="219"/>
      <c r="AF49" s="219"/>
      <c r="AG49" s="497"/>
      <c r="AH49" s="497"/>
      <c r="AI49" s="497"/>
      <c r="AJ49" s="172"/>
      <c r="AK49" s="172"/>
      <c r="AL49" s="163"/>
      <c r="AM49" s="172"/>
      <c r="AN49" s="172"/>
      <c r="AO49" s="172"/>
      <c r="AP49" s="497"/>
      <c r="AQ49" s="537"/>
      <c r="FM49" s="89"/>
    </row>
    <row r="50" spans="1:173" s="78" customFormat="1" ht="13.5" customHeight="1" x14ac:dyDescent="0.25">
      <c r="A50" s="447"/>
      <c r="B50" s="570" t="s">
        <v>88</v>
      </c>
      <c r="C50" s="325"/>
      <c r="D50" s="441"/>
      <c r="E50" s="441"/>
      <c r="F50" s="441"/>
      <c r="G50" s="438"/>
      <c r="H50" s="200"/>
      <c r="I50" s="507"/>
      <c r="J50" s="573"/>
      <c r="K50" s="497"/>
      <c r="L50" s="497"/>
      <c r="M50" s="497"/>
      <c r="N50" s="497"/>
      <c r="O50" s="510"/>
      <c r="P50" s="497"/>
      <c r="Q50" s="572"/>
      <c r="R50" s="130"/>
      <c r="S50" s="178"/>
      <c r="T50" s="178"/>
      <c r="U50" s="178"/>
      <c r="V50" s="178" t="str">
        <f>IF(AND(T50=$FS$2,U50=$FT$2),"50%",IF(AND(T50=$FS$2,U50=$FT$3),"40%",IF(AND(T50=$FS$3,U50=$FT$2),"40%",IF(AND(T50=$FS$3,U50=$FT$3),"30%",IF(AND(T50=$FS$4,U50=$FT$2),"35%",IF(AND(T50=$FS$4,U50=$FT$3),"25%",""))))))</f>
        <v/>
      </c>
      <c r="W50" s="178"/>
      <c r="X50" s="178"/>
      <c r="Y50" s="178"/>
      <c r="Z50" s="131" t="str">
        <f>IFERROR(IF(AND(S49="Probabilidad",S50="Probabilidad"),(Z49-(+Z49*V50)),IF(S50="Probabilidad",(L49-(+L49*V50)),IF(S50="Impacto",Z49,""))),"")</f>
        <v/>
      </c>
      <c r="AA50" s="219"/>
      <c r="AB50" s="219"/>
      <c r="AC50" s="497"/>
      <c r="AD50" s="182" t="str">
        <f>IFERROR(IF(AND(S49="Impacto",V50="Impacto"),(AD49-(+AD49*V50)),IF(S50="Impacto",(O49-(+O49*V50)),IF(S50="Probabilidad",AD49,""))),"")</f>
        <v/>
      </c>
      <c r="AE50" s="219"/>
      <c r="AF50" s="219"/>
      <c r="AG50" s="497"/>
      <c r="AH50" s="497"/>
      <c r="AI50" s="497"/>
      <c r="AJ50" s="172"/>
      <c r="AK50" s="172"/>
      <c r="AL50" s="163"/>
      <c r="AM50" s="172"/>
      <c r="AN50" s="172"/>
      <c r="AO50" s="172"/>
      <c r="AP50" s="497"/>
      <c r="AQ50" s="537"/>
      <c r="FM50" s="89"/>
    </row>
    <row r="51" spans="1:173" s="78" customFormat="1" ht="13.5" customHeight="1" x14ac:dyDescent="0.25">
      <c r="A51" s="447"/>
      <c r="B51" s="570" t="s">
        <v>88</v>
      </c>
      <c r="C51" s="325"/>
      <c r="D51" s="441"/>
      <c r="E51" s="441"/>
      <c r="F51" s="441"/>
      <c r="G51" s="438"/>
      <c r="H51" s="200"/>
      <c r="I51" s="507"/>
      <c r="J51" s="573"/>
      <c r="K51" s="497"/>
      <c r="L51" s="497"/>
      <c r="M51" s="497"/>
      <c r="N51" s="497"/>
      <c r="O51" s="510"/>
      <c r="P51" s="497"/>
      <c r="Q51" s="572"/>
      <c r="R51" s="130"/>
      <c r="S51" s="178"/>
      <c r="T51" s="178"/>
      <c r="U51" s="178"/>
      <c r="V51" s="178" t="str">
        <f>IF(AND(T51=$FS$2,U51=$FT$2),"50%",IF(AND(T51=$FS$2,U51=$FT$3),"40%",IF(AND(T51=$FS$3,U51=$FT$2),"40%",IF(AND(T51=$FS$3,U51=$FT$3),"30%",IF(AND(T51=$FS$4,U51=$FT$2),"35%",IF(AND(T51=$FS$4,U51=$FT$3),"25%",""))))))</f>
        <v/>
      </c>
      <c r="W51" s="178"/>
      <c r="X51" s="178"/>
      <c r="Y51" s="178"/>
      <c r="Z51" s="131" t="str">
        <f>IFERROR(IF(AND(S50="Probabilidad",S51="Probabilidad"),(Z50-(+Z50*V51)),IF(S51="Probabilidad",(L50-(+L50*V51)),IF(S51="Impacto",Z50,""))),"")</f>
        <v/>
      </c>
      <c r="AA51" s="219"/>
      <c r="AB51" s="219"/>
      <c r="AC51" s="497"/>
      <c r="AD51" s="182" t="str">
        <f>IFERROR(IF(AND(S50="Impacto",V51="Impacto"),(AD50-(+AD50*V51)),IF(S51="Impacto",(O50-(+O50*V51)),IF(S51="Probabilidad",AD50,""))),"")</f>
        <v/>
      </c>
      <c r="AE51" s="219"/>
      <c r="AF51" s="219"/>
      <c r="AG51" s="497"/>
      <c r="AH51" s="497"/>
      <c r="AI51" s="497"/>
      <c r="AJ51" s="172"/>
      <c r="AK51" s="172"/>
      <c r="AL51" s="163"/>
      <c r="AM51" s="172"/>
      <c r="AN51" s="172"/>
      <c r="AO51" s="172"/>
      <c r="AP51" s="497"/>
      <c r="AQ51" s="537"/>
      <c r="FM51" s="89"/>
    </row>
    <row r="52" spans="1:173" s="78" customFormat="1" ht="13.5" customHeight="1" x14ac:dyDescent="0.25">
      <c r="A52" s="447"/>
      <c r="B52" s="570" t="s">
        <v>88</v>
      </c>
      <c r="C52" s="325"/>
      <c r="D52" s="441"/>
      <c r="E52" s="441"/>
      <c r="F52" s="441"/>
      <c r="G52" s="438"/>
      <c r="H52" s="200"/>
      <c r="I52" s="507"/>
      <c r="J52" s="573"/>
      <c r="K52" s="497"/>
      <c r="L52" s="497"/>
      <c r="M52" s="497"/>
      <c r="N52" s="497"/>
      <c r="O52" s="510"/>
      <c r="P52" s="497"/>
      <c r="Q52" s="572"/>
      <c r="R52" s="130"/>
      <c r="S52" s="178"/>
      <c r="T52" s="178"/>
      <c r="U52" s="178"/>
      <c r="V52" s="178" t="str">
        <f>IF(AND(T52=$FS$2,U52=$FT$2),"50%",IF(AND(T52=$FS$2,U52=$FT$3),"40%",IF(AND(T52=$FS$3,U52=$FT$2),"40%",IF(AND(T52=$FS$3,U52=$FT$3),"30%",IF(AND(T52=$FS$4,U52=$FT$2),"35%",IF(AND(T52=$FS$4,U52=$FT$3),"25%",""))))))</f>
        <v/>
      </c>
      <c r="W52" s="178"/>
      <c r="X52" s="178"/>
      <c r="Y52" s="178"/>
      <c r="Z52" s="131" t="str">
        <f>IFERROR(IF(AND(S51="Probabilidad",S52="Probabilidad"),(Z51-(+Z51*V52)),IF(S52="Probabilidad",(L51-(+L51*V52)),IF(S52="Impacto",Z51,""))),"")</f>
        <v/>
      </c>
      <c r="AA52" s="219"/>
      <c r="AB52" s="219"/>
      <c r="AC52" s="497"/>
      <c r="AD52" s="182" t="str">
        <f>IFERROR(IF(AND(S51="Impacto",V52="Impacto"),(AD51-(+AD51*V52)),IF(S52="Impacto",(O51-(+O51*V52)),IF(S52="Probabilidad",AD51,""))),"")</f>
        <v/>
      </c>
      <c r="AE52" s="219"/>
      <c r="AF52" s="219"/>
      <c r="AG52" s="497"/>
      <c r="AH52" s="497"/>
      <c r="AI52" s="497"/>
      <c r="AJ52" s="172"/>
      <c r="AK52" s="172"/>
      <c r="AL52" s="163"/>
      <c r="AM52" s="172"/>
      <c r="AN52" s="172"/>
      <c r="AO52" s="172"/>
      <c r="AP52" s="497"/>
      <c r="AQ52" s="537"/>
      <c r="FM52" s="89"/>
    </row>
    <row r="53" spans="1:173" s="78" customFormat="1" ht="13.5" customHeight="1" x14ac:dyDescent="0.25">
      <c r="A53" s="460"/>
      <c r="B53" s="570" t="s">
        <v>88</v>
      </c>
      <c r="C53" s="459"/>
      <c r="D53" s="458"/>
      <c r="E53" s="458"/>
      <c r="F53" s="458"/>
      <c r="G53" s="457"/>
      <c r="H53" s="201"/>
      <c r="I53" s="508"/>
      <c r="J53" s="574"/>
      <c r="K53" s="498"/>
      <c r="L53" s="498"/>
      <c r="M53" s="498"/>
      <c r="N53" s="498"/>
      <c r="O53" s="511"/>
      <c r="P53" s="498"/>
      <c r="Q53" s="572"/>
      <c r="R53" s="130"/>
      <c r="S53" s="178"/>
      <c r="T53" s="178"/>
      <c r="U53" s="178"/>
      <c r="V53" s="178" t="str">
        <f>IF(AND(T53=$FS$2,U53=$FT$2),"50%",IF(AND(T53=$FS$2,U53=$FT$3),"40%",IF(AND(T53=$FS$3,U53=$FT$2),"40%",IF(AND(T53=$FS$3,U53=$FT$3),"30%",IF(AND(T53=$FS$4,U53=$FT$2),"35%",IF(AND(T53=$FS$4,U53=$FT$3),"25%",""))))))</f>
        <v/>
      </c>
      <c r="W53" s="178"/>
      <c r="X53" s="178"/>
      <c r="Y53" s="178"/>
      <c r="Z53" s="131" t="str">
        <f>IFERROR(IF(AND(S52="Probabilidad",S53="Probabilidad"),(Z52-(+Z52*V53)),IF(S53="Probabilidad",(L52-(+L52*V53)),IF(S53="Impacto",Z52,""))),"")</f>
        <v/>
      </c>
      <c r="AA53" s="220"/>
      <c r="AB53" s="220"/>
      <c r="AC53" s="498"/>
      <c r="AD53" s="182" t="str">
        <f>IFERROR(IF(AND(S52="Impacto",V53="Impacto"),(AD52-(+AD52*V53)),IF(S53="Impacto",(O52-(+O52*V53)),IF(S53="Probabilidad",AD52,""))),"")</f>
        <v/>
      </c>
      <c r="AE53" s="220"/>
      <c r="AF53" s="220"/>
      <c r="AG53" s="498"/>
      <c r="AH53" s="498"/>
      <c r="AI53" s="498"/>
      <c r="AJ53" s="172"/>
      <c r="AK53" s="172"/>
      <c r="AL53" s="163"/>
      <c r="AM53" s="172"/>
      <c r="AN53" s="172"/>
      <c r="AO53" s="172"/>
      <c r="AP53" s="498"/>
      <c r="AQ53" s="538"/>
      <c r="FM53" s="89"/>
      <c r="FQ53" s="79"/>
    </row>
    <row r="54" spans="1:173" ht="12" customHeight="1" x14ac:dyDescent="0.2">
      <c r="A54" s="446">
        <v>11</v>
      </c>
      <c r="B54" s="570" t="s">
        <v>88</v>
      </c>
      <c r="C54" s="444" t="s">
        <v>248</v>
      </c>
      <c r="D54" s="440" t="s">
        <v>295</v>
      </c>
      <c r="E54" s="440" t="s">
        <v>296</v>
      </c>
      <c r="F54" s="440" t="s">
        <v>288</v>
      </c>
      <c r="G54" s="437" t="s">
        <v>149</v>
      </c>
      <c r="H54" s="199" t="s">
        <v>150</v>
      </c>
      <c r="I54" s="527" t="s">
        <v>151</v>
      </c>
      <c r="J54" s="571">
        <v>12</v>
      </c>
      <c r="K54" s="496" t="str">
        <f>IF(AND(J54&lt;=2),"Muy Baja",IF(AND(J54&gt;=3,J54&lt;=23),"Baja",IF(AND(J54&gt;=24,J54&lt;=499),"Media",IF(AND(J54&gt;=500,J54&lt;=4999),"Alta",IF(AND(J54&gt;=5000),"Muy Alta",FALSE)))))</f>
        <v>Baja</v>
      </c>
      <c r="L54" s="496" t="str">
        <f>IF(AND(J54&lt;=2),"20%",IF(AND(J54&gt;=3,J54&lt;=23),"40%",IF(AND(J54&gt;=24,J54&lt;=499),"60%",IF(AND(J54&gt;=500,J54&lt;=4999),"80%",IF(AND(J54&gt;=5000),"100%",FALSE)))))</f>
        <v>40%</v>
      </c>
      <c r="M54" s="496" t="s">
        <v>163</v>
      </c>
      <c r="N54" s="496" t="str">
        <f>IF(AND(M54=$FQ$4),"Leve",IF(AND(M54=$FQ$5),"Menor",IF(AND(M54=$FQ$6),"Moderado",IF(AND(M54=$FQ$7),"mayor",IF(AND(M54=$FQ$8),"Catastrófico",IF(AND(M54=$FQ$10),"Leve",IF(AND(M54=$FQ$11),"Menor",IF(AND(M54=$FQ$12),"Moderado",IF(AND(M54=$FQ$13),"Mayor",IF(AND(M54=$FQ$14),"Catastrófico",FALSE))))))))))</f>
        <v>Leve</v>
      </c>
      <c r="O54" s="509" t="str">
        <f>IF(AND(N54="Leve"),"20%",IF(AND(N54="Menor"),"40%",IF(AND(N54="Moderado"),"60%",IF(AND(N54="Mayor"),"80%",IF(AND(N54="Catastrófico"),"100%","")))))</f>
        <v>20%</v>
      </c>
      <c r="P54" s="496" t="str">
        <f>INDEX('[2]MATRIZ RIESGO'!$D$6:$H$10,MATCH(K54,'[2]MATRIZ RIESGO'!$C$6:$C$10,),MATCH(N54,'[2]MATRIZ RIESGO'!$D$5:$H$5,))</f>
        <v>Bajo</v>
      </c>
      <c r="Q54" s="572">
        <v>1</v>
      </c>
      <c r="R54" s="130" t="s">
        <v>790</v>
      </c>
      <c r="S54" s="178" t="s">
        <v>237</v>
      </c>
      <c r="T54" s="178" t="s">
        <v>152</v>
      </c>
      <c r="U54" s="178" t="s">
        <v>153</v>
      </c>
      <c r="V54" s="178" t="str">
        <f>IF(AND(T54=$FS$2,U54=$FT$2),"50%",IF(AND(T54=$FS$2,U54=$FT$3),"40%",IF(AND(T54=$FS$3,U54=$FT$2),"40%",IF(AND(T54=$FS$3,U54=$FT$3),"30%",IF(AND(T54=$FS$4,U54=$FT$2),"35%",IF(AND(T54=$FS$4,U54=$FT$3),"25%",""))))))</f>
        <v>40%</v>
      </c>
      <c r="W54" s="178" t="s">
        <v>154</v>
      </c>
      <c r="X54" s="178" t="s">
        <v>155</v>
      </c>
      <c r="Y54" s="178" t="s">
        <v>156</v>
      </c>
      <c r="Z54" s="131">
        <f>IFERROR(IF(S54="Probabilidad",(L54-(+L54*V54)),IF(S54="Impacto",L54,"")),"")</f>
        <v>0.24</v>
      </c>
      <c r="AA54" s="218">
        <f>LOOKUP(2,1/(Z54:Z59&lt;&gt;""),Z54:Z59)</f>
        <v>0.24</v>
      </c>
      <c r="AB54" s="218">
        <f t="shared" ref="AB54" si="2">AA54*1</f>
        <v>0.24</v>
      </c>
      <c r="AC54" s="496" t="str">
        <f t="shared" ref="AC54" si="3">IF(AND(AB54&lt;=20%),"Muy Baja",IF(AND(AB54&gt;=21%,AB54&lt;=40%),"Baja",IF(AND(AB54&gt;=41%,AB54&lt;=60%),"Media",IF(AND(AB54&gt;=61%,AB54&lt;=80%),"Alta",IF(AND(AB54&gt;=81%,AB54&gt;=100%),"Muy Alta",FALSE)))))</f>
        <v>Baja</v>
      </c>
      <c r="AD54" s="182" t="str">
        <f>IFERROR(IF(S54="Impacto",(O54-(+O54*V54)),IF(S54="Probabilidad",O54,"")),"")</f>
        <v>20%</v>
      </c>
      <c r="AE54" s="218" t="str">
        <f>LOOKUP(2,1/(AD54:AD59&lt;&gt;""),AD54:AD59)</f>
        <v>20%</v>
      </c>
      <c r="AF54" s="218">
        <f>AE54*1</f>
        <v>0.2</v>
      </c>
      <c r="AG54" s="496" t="str">
        <f t="shared" ref="AG54" si="4">CHOOSE((AF54&gt;=0%)+(AF54&gt;=21%)+(AF54&gt;=41%)+(AF54&gt;=61%)+(AF54&gt;=81%),"Leve","Menor","Moderado","Mayor","Catastrófico")</f>
        <v>Leve</v>
      </c>
      <c r="AH54" s="496" t="str">
        <f>INDEX('[2]MATRIZ RIESGO'!$D$6:$H$10,MATCH(AC54,'[2]MATRIZ RIESGO'!$C$6:$C$10,),MATCH(AG54,'[2]MATRIZ RIESGO'!$D$5:$H$5,))</f>
        <v>Bajo</v>
      </c>
      <c r="AI54" s="496" t="s">
        <v>77</v>
      </c>
      <c r="AJ54" s="172"/>
      <c r="AK54" s="172"/>
      <c r="AL54" s="163"/>
      <c r="AM54" s="163"/>
      <c r="AN54" s="172"/>
      <c r="AO54" s="172"/>
      <c r="AP54" s="496" t="s">
        <v>289</v>
      </c>
      <c r="AQ54" s="539" t="s">
        <v>113</v>
      </c>
    </row>
    <row r="55" spans="1:173" ht="12" customHeight="1" x14ac:dyDescent="0.2">
      <c r="A55" s="447"/>
      <c r="B55" s="570" t="s">
        <v>88</v>
      </c>
      <c r="C55" s="325"/>
      <c r="D55" s="441"/>
      <c r="E55" s="441"/>
      <c r="F55" s="441"/>
      <c r="G55" s="438"/>
      <c r="H55" s="200"/>
      <c r="I55" s="507"/>
      <c r="J55" s="573"/>
      <c r="K55" s="497"/>
      <c r="L55" s="497"/>
      <c r="M55" s="497"/>
      <c r="N55" s="497"/>
      <c r="O55" s="510"/>
      <c r="P55" s="497"/>
      <c r="Q55" s="572"/>
      <c r="R55" s="130"/>
      <c r="S55" s="178"/>
      <c r="T55" s="178"/>
      <c r="U55" s="178"/>
      <c r="V55" s="178"/>
      <c r="W55" s="178"/>
      <c r="X55" s="178"/>
      <c r="Y55" s="178"/>
      <c r="Z55" s="131" t="str">
        <f>IFERROR(IF(AND(S54="Probabilidad",S55="Probabilidad"),(Z54-(+Z54*V55)),IF(S55="Probabilidad",(L54-(+L54*V55)),IF(S55="Impacto",Z54,""))),"")</f>
        <v/>
      </c>
      <c r="AA55" s="219"/>
      <c r="AB55" s="219"/>
      <c r="AC55" s="497"/>
      <c r="AD55" s="182" t="str">
        <f>IFERROR(IF(AND(S54="Impacto",V55="Impacto"),(AD54-(+AD54*V55)),IF(S55="Impacto",(O54-(+O54*V55)),IF(S55="Probabilidad",AD54,""))),"")</f>
        <v/>
      </c>
      <c r="AE55" s="219"/>
      <c r="AF55" s="219"/>
      <c r="AG55" s="497"/>
      <c r="AH55" s="497"/>
      <c r="AI55" s="497"/>
      <c r="AJ55" s="172"/>
      <c r="AK55" s="172"/>
      <c r="AL55" s="163"/>
      <c r="AM55" s="172"/>
      <c r="AN55" s="172"/>
      <c r="AO55" s="172"/>
      <c r="AP55" s="497"/>
      <c r="AQ55" s="537"/>
    </row>
    <row r="56" spans="1:173" ht="12" customHeight="1" x14ac:dyDescent="0.2">
      <c r="A56" s="447"/>
      <c r="B56" s="570" t="s">
        <v>88</v>
      </c>
      <c r="C56" s="325"/>
      <c r="D56" s="441"/>
      <c r="E56" s="441"/>
      <c r="F56" s="441"/>
      <c r="G56" s="438"/>
      <c r="H56" s="200"/>
      <c r="I56" s="507"/>
      <c r="J56" s="573"/>
      <c r="K56" s="497"/>
      <c r="L56" s="497"/>
      <c r="M56" s="497"/>
      <c r="N56" s="497"/>
      <c r="O56" s="510"/>
      <c r="P56" s="497"/>
      <c r="Q56" s="572"/>
      <c r="R56" s="130"/>
      <c r="S56" s="178"/>
      <c r="T56" s="178"/>
      <c r="U56" s="178"/>
      <c r="V56" s="178"/>
      <c r="W56" s="178"/>
      <c r="X56" s="178"/>
      <c r="Y56" s="178"/>
      <c r="Z56" s="131" t="str">
        <f>IFERROR(IF(AND(S55="Probabilidad",S56="Probabilidad"),(Z55-(+Z55*V56)),IF(S56="Probabilidad",(L55-(+L55*V56)),IF(S56="Impacto",Z55,""))),"")</f>
        <v/>
      </c>
      <c r="AA56" s="219"/>
      <c r="AB56" s="219"/>
      <c r="AC56" s="497"/>
      <c r="AD56" s="182" t="str">
        <f t="shared" ref="AD56:AD59" si="5">IFERROR(IF(AND(S55="Impacto",V56="Impacto"),(AD55-(+AD55*V56)),IF(S56="Impacto",(O55-(+O55*V56)),IF(S56="Probabilidad",AD55,""))),"")</f>
        <v/>
      </c>
      <c r="AE56" s="219"/>
      <c r="AF56" s="219"/>
      <c r="AG56" s="497"/>
      <c r="AH56" s="497"/>
      <c r="AI56" s="497"/>
      <c r="AJ56" s="172"/>
      <c r="AK56" s="172"/>
      <c r="AL56" s="163"/>
      <c r="AM56" s="172"/>
      <c r="AN56" s="172"/>
      <c r="AO56" s="172"/>
      <c r="AP56" s="497"/>
      <c r="AQ56" s="537"/>
    </row>
    <row r="57" spans="1:173" ht="12" customHeight="1" x14ac:dyDescent="0.2">
      <c r="A57" s="447"/>
      <c r="B57" s="570" t="s">
        <v>88</v>
      </c>
      <c r="C57" s="325"/>
      <c r="D57" s="441"/>
      <c r="E57" s="441"/>
      <c r="F57" s="441"/>
      <c r="G57" s="438"/>
      <c r="H57" s="200"/>
      <c r="I57" s="507"/>
      <c r="J57" s="573"/>
      <c r="K57" s="497"/>
      <c r="L57" s="497"/>
      <c r="M57" s="497"/>
      <c r="N57" s="497"/>
      <c r="O57" s="510"/>
      <c r="P57" s="497"/>
      <c r="Q57" s="572"/>
      <c r="R57" s="130"/>
      <c r="S57" s="178"/>
      <c r="T57" s="178"/>
      <c r="U57" s="178"/>
      <c r="V57" s="178"/>
      <c r="W57" s="178"/>
      <c r="X57" s="178"/>
      <c r="Y57" s="178"/>
      <c r="Z57" s="131" t="str">
        <f>IFERROR(IF(AND(S56="Probabilidad",S57="Probabilidad"),(Z56-(+Z56*V57)),IF(S57="Probabilidad",(L56-(+L56*V57)),IF(S57="Impacto",Z56,""))),"")</f>
        <v/>
      </c>
      <c r="AA57" s="219"/>
      <c r="AB57" s="219"/>
      <c r="AC57" s="497"/>
      <c r="AD57" s="182" t="str">
        <f t="shared" si="5"/>
        <v/>
      </c>
      <c r="AE57" s="219"/>
      <c r="AF57" s="219"/>
      <c r="AG57" s="497"/>
      <c r="AH57" s="497"/>
      <c r="AI57" s="497"/>
      <c r="AJ57" s="172"/>
      <c r="AK57" s="172"/>
      <c r="AL57" s="163"/>
      <c r="AM57" s="172"/>
      <c r="AN57" s="172"/>
      <c r="AO57" s="172"/>
      <c r="AP57" s="497"/>
      <c r="AQ57" s="537"/>
    </row>
    <row r="58" spans="1:173" ht="12" customHeight="1" x14ac:dyDescent="0.2">
      <c r="A58" s="447"/>
      <c r="B58" s="570" t="s">
        <v>88</v>
      </c>
      <c r="C58" s="325"/>
      <c r="D58" s="441"/>
      <c r="E58" s="441"/>
      <c r="F58" s="441"/>
      <c r="G58" s="438"/>
      <c r="H58" s="200"/>
      <c r="I58" s="507"/>
      <c r="J58" s="573"/>
      <c r="K58" s="497"/>
      <c r="L58" s="497"/>
      <c r="M58" s="497"/>
      <c r="N58" s="497"/>
      <c r="O58" s="510"/>
      <c r="P58" s="497"/>
      <c r="Q58" s="572"/>
      <c r="R58" s="130"/>
      <c r="S58" s="178"/>
      <c r="T58" s="178"/>
      <c r="U58" s="178"/>
      <c r="V58" s="178" t="str">
        <f t="shared" ref="V58:V59" si="6">IF(AND(T58=$FS$2,U58=$FT$2),"50%",IF(AND(T58=$FS$2,U58=$FT$3),"40%",IF(AND(T58=$FS$3,U58=$FT$2),"40%",IF(AND(T58=$FS$3,U58=$FT$3),"30%",IF(AND(T58=$FS$4,U58=$FT$2),"35%",IF(AND(T58=$FS$4,U58=$FT$3),"25%",""))))))</f>
        <v/>
      </c>
      <c r="W58" s="178"/>
      <c r="X58" s="178"/>
      <c r="Y58" s="178"/>
      <c r="Z58" s="131" t="str">
        <f>IFERROR(IF(AND(S57="Probabilidad",S58="Probabilidad"),(Z57-(+Z57*V58)),IF(S58="Probabilidad",(L57-(+L57*V58)),IF(S58="Impacto",Z57,""))),"")</f>
        <v/>
      </c>
      <c r="AA58" s="219"/>
      <c r="AB58" s="219"/>
      <c r="AC58" s="497"/>
      <c r="AD58" s="182" t="str">
        <f t="shared" si="5"/>
        <v/>
      </c>
      <c r="AE58" s="219"/>
      <c r="AF58" s="219"/>
      <c r="AG58" s="497"/>
      <c r="AH58" s="497"/>
      <c r="AI58" s="497"/>
      <c r="AJ58" s="172"/>
      <c r="AK58" s="172"/>
      <c r="AL58" s="163"/>
      <c r="AM58" s="172"/>
      <c r="AN58" s="172"/>
      <c r="AO58" s="172"/>
      <c r="AP58" s="497"/>
      <c r="AQ58" s="537"/>
    </row>
    <row r="59" spans="1:173" ht="12" customHeight="1" x14ac:dyDescent="0.2">
      <c r="A59" s="460"/>
      <c r="B59" s="570" t="s">
        <v>88</v>
      </c>
      <c r="C59" s="459"/>
      <c r="D59" s="458"/>
      <c r="E59" s="458"/>
      <c r="F59" s="458"/>
      <c r="G59" s="457"/>
      <c r="H59" s="201"/>
      <c r="I59" s="508"/>
      <c r="J59" s="574"/>
      <c r="K59" s="498"/>
      <c r="L59" s="498"/>
      <c r="M59" s="498"/>
      <c r="N59" s="498"/>
      <c r="O59" s="511"/>
      <c r="P59" s="498"/>
      <c r="Q59" s="572"/>
      <c r="R59" s="130"/>
      <c r="S59" s="178"/>
      <c r="T59" s="178"/>
      <c r="U59" s="178"/>
      <c r="V59" s="178" t="str">
        <f t="shared" si="6"/>
        <v/>
      </c>
      <c r="W59" s="178"/>
      <c r="X59" s="178"/>
      <c r="Y59" s="178"/>
      <c r="Z59" s="131" t="str">
        <f>IFERROR(IF(AND(S58="Probabilidad",S59="Probabilidad"),(Z58-(+Z58*V59)),IF(S59="Probabilidad",(L58-(+L58*V59)),IF(S59="Impacto",Z58,""))),"")</f>
        <v/>
      </c>
      <c r="AA59" s="220"/>
      <c r="AB59" s="220"/>
      <c r="AC59" s="498"/>
      <c r="AD59" s="182" t="str">
        <f t="shared" si="5"/>
        <v/>
      </c>
      <c r="AE59" s="220"/>
      <c r="AF59" s="220"/>
      <c r="AG59" s="498"/>
      <c r="AH59" s="498"/>
      <c r="AI59" s="498"/>
      <c r="AJ59" s="172"/>
      <c r="AK59" s="172"/>
      <c r="AL59" s="163"/>
      <c r="AM59" s="172"/>
      <c r="AN59" s="172"/>
      <c r="AO59" s="172"/>
      <c r="AP59" s="498"/>
      <c r="AQ59" s="538"/>
    </row>
    <row r="60" spans="1:173" ht="15" customHeight="1" x14ac:dyDescent="0.2">
      <c r="A60" s="446">
        <v>12</v>
      </c>
      <c r="B60" s="570" t="s">
        <v>88</v>
      </c>
      <c r="C60" s="444" t="s">
        <v>233</v>
      </c>
      <c r="D60" s="440" t="s">
        <v>791</v>
      </c>
      <c r="E60" s="440" t="s">
        <v>792</v>
      </c>
      <c r="F60" s="440" t="s">
        <v>793</v>
      </c>
      <c r="G60" s="437" t="s">
        <v>149</v>
      </c>
      <c r="H60" s="199" t="s">
        <v>150</v>
      </c>
      <c r="I60" s="527" t="s">
        <v>151</v>
      </c>
      <c r="J60" s="571">
        <v>41</v>
      </c>
      <c r="K60" s="496" t="str">
        <f>IF(AND(J60&lt;=2),"Muy Baja",IF(AND(J60&gt;=3,J60&lt;=23),"Baja",IF(AND(J60&gt;=24,J60&lt;=499),"Media",IF(AND(J60&gt;=500,J60&lt;=4999),"Alta",IF(AND(J60&gt;=5000),"Muy Alta",FALSE)))))</f>
        <v>Media</v>
      </c>
      <c r="L60" s="496" t="str">
        <f>IF(AND(J60&lt;=2),"20%",IF(AND(J60&gt;=3,J60&lt;=23),"40%",IF(AND(J60&gt;=24,J60&lt;=499),"60%",IF(AND(J60&gt;=500,J60&lt;=4999),"80%",IF(AND(J60&gt;=5000),"100%",FALSE)))))</f>
        <v>60%</v>
      </c>
      <c r="M60" s="496" t="s">
        <v>162</v>
      </c>
      <c r="N60" s="496" t="str">
        <f>IF(AND(M60=$FQ$4),"Leve",IF(AND(M60=$FQ$5),"Menor",IF(AND(M60=$FQ$6),"Moderado",IF(AND(M60=$FQ$7),"mayor",IF(AND(M60=$FQ$8),"Catastrófico",IF(AND(M60=$FQ$10),"Leve",IF(AND(M60=$FQ$11),"Menor",IF(AND(M60=$FQ$12),"Moderado",IF(AND(M60=$FQ$13),"Mayor",IF(AND(M60=$FQ$14),"Catastrófico",FALSE))))))))))</f>
        <v>Moderado</v>
      </c>
      <c r="O60" s="509" t="str">
        <f>IF(AND(N60="Leve"),"20%",IF(AND(N60="Menor"),"40%",IF(AND(N60="Moderado"),"60%",IF(AND(N60="Mayor"),"80%",IF(AND(N60="Catastrófico"),"100%","")))))</f>
        <v>60%</v>
      </c>
      <c r="P60" s="496" t="str">
        <f>INDEX('[2]MATRIZ RIESGO'!$D$6:$H$10,MATCH(K60,'[2]MATRIZ RIESGO'!$C$6:$C$10,),MATCH(N60,'[2]MATRIZ RIESGO'!$D$5:$H$5,))</f>
        <v>Moderado</v>
      </c>
      <c r="Q60" s="572">
        <v>1</v>
      </c>
      <c r="R60" s="130" t="s">
        <v>794</v>
      </c>
      <c r="S60" s="178" t="s">
        <v>237</v>
      </c>
      <c r="T60" s="178" t="s">
        <v>152</v>
      </c>
      <c r="U60" s="178" t="s">
        <v>153</v>
      </c>
      <c r="V60" s="178" t="str">
        <f>IF(AND(T60=$FS$2,U60=$FT$2),"50%",IF(AND(T60=$FS$2,U60=$FT$3),"40%",IF(AND(T60=$FS$3,U60=$FT$2),"40%",IF(AND(T60=$FS$3,U60=$FT$3),"30%",IF(AND(T60=$FS$4,U60=$FT$2),"35%",IF(AND(T60=$FS$4,U60=$FT$3),"25%",""))))))</f>
        <v>40%</v>
      </c>
      <c r="W60" s="178" t="s">
        <v>154</v>
      </c>
      <c r="X60" s="178" t="s">
        <v>155</v>
      </c>
      <c r="Y60" s="178" t="s">
        <v>156</v>
      </c>
      <c r="Z60" s="131">
        <f>IFERROR(IF(S60="Probabilidad",(L60-(+L60*V60)),IF(S60="Impacto",L60,"")),"")</f>
        <v>0.36</v>
      </c>
      <c r="AA60" s="218">
        <f>LOOKUP(2,1/(Z60:Z65&lt;&gt;""),Z60:Z65)</f>
        <v>0.36</v>
      </c>
      <c r="AB60" s="218">
        <f t="shared" ref="AB60" si="7">AA60*1</f>
        <v>0.36</v>
      </c>
      <c r="AC60" s="496" t="str">
        <f t="shared" ref="AC60" si="8">IF(AND(AB60&lt;=20%),"Muy Baja",IF(AND(AB60&gt;=21%,AB60&lt;=40%),"Baja",IF(AND(AB60&gt;=41%,AB60&lt;=60%),"Media",IF(AND(AB60&gt;=61%,AB60&lt;=80%),"Alta",IF(AND(AB60&gt;=81%,AB60&gt;=100%),"Muy Alta",FALSE)))))</f>
        <v>Baja</v>
      </c>
      <c r="AD60" s="182" t="str">
        <f>IFERROR(IF(S60="Impacto",(O60-(+O60*V60)),IF(S60="Probabilidad",O60,"")),"")</f>
        <v>60%</v>
      </c>
      <c r="AE60" s="218" t="str">
        <f>LOOKUP(2,1/(AD60:AD65&lt;&gt;""),AD60:AD65)</f>
        <v>60%</v>
      </c>
      <c r="AF60" s="218">
        <f>AE60*1</f>
        <v>0.6</v>
      </c>
      <c r="AG60" s="496" t="str">
        <f t="shared" ref="AG60" si="9">CHOOSE((AF60&gt;=0%)+(AF60&gt;=21%)+(AF60&gt;=41%)+(AF60&gt;=61%)+(AF60&gt;=81%),"Leve","Menor","Moderado","Mayor","Catastrófico")</f>
        <v>Moderado</v>
      </c>
      <c r="AH60" s="496" t="str">
        <f>INDEX('[2]MATRIZ RIESGO'!$D$6:$H$10,MATCH(AC60,'[2]MATRIZ RIESGO'!$C$6:$C$10,),MATCH(AG60,'[2]MATRIZ RIESGO'!$D$5:$H$5,))</f>
        <v>Moderado</v>
      </c>
      <c r="AI60" s="496" t="s">
        <v>77</v>
      </c>
      <c r="AJ60" s="172"/>
      <c r="AK60" s="172"/>
      <c r="AL60" s="163"/>
      <c r="AM60" s="163"/>
      <c r="AN60" s="172"/>
      <c r="AO60" s="172"/>
      <c r="AP60" s="496" t="s">
        <v>290</v>
      </c>
      <c r="AQ60" s="539" t="s">
        <v>113</v>
      </c>
    </row>
    <row r="61" spans="1:173" ht="15" customHeight="1" x14ac:dyDescent="0.2">
      <c r="A61" s="447"/>
      <c r="B61" s="570" t="s">
        <v>88</v>
      </c>
      <c r="C61" s="325"/>
      <c r="D61" s="441"/>
      <c r="E61" s="441"/>
      <c r="F61" s="441"/>
      <c r="G61" s="438"/>
      <c r="H61" s="200"/>
      <c r="I61" s="507"/>
      <c r="J61" s="573"/>
      <c r="K61" s="497"/>
      <c r="L61" s="497"/>
      <c r="M61" s="497"/>
      <c r="N61" s="497"/>
      <c r="O61" s="510"/>
      <c r="P61" s="497"/>
      <c r="Q61" s="572"/>
      <c r="R61" s="130"/>
      <c r="S61" s="178"/>
      <c r="T61" s="178"/>
      <c r="U61" s="178"/>
      <c r="V61" s="178"/>
      <c r="W61" s="178"/>
      <c r="X61" s="178"/>
      <c r="Y61" s="178"/>
      <c r="Z61" s="131" t="str">
        <f>IFERROR(IF(AND(S60="Probabilidad",S61="Probabilidad"),(Z60-(+Z60*V61)),IF(S61="Probabilidad",(L60-(+L60*V61)),IF(S61="Impacto",Z60,""))),"")</f>
        <v/>
      </c>
      <c r="AA61" s="219"/>
      <c r="AB61" s="219"/>
      <c r="AC61" s="497"/>
      <c r="AD61" s="182" t="str">
        <f>IFERROR(IF(AND(S60="Impacto",V61="Impacto"),(AD60-(+AD60*V61)),IF(S61="Impacto",(O60-(+O60*V61)),IF(S61="Probabilidad",AD60,""))),"")</f>
        <v/>
      </c>
      <c r="AE61" s="219"/>
      <c r="AF61" s="219"/>
      <c r="AG61" s="497"/>
      <c r="AH61" s="497"/>
      <c r="AI61" s="497"/>
      <c r="AJ61" s="172"/>
      <c r="AK61" s="172"/>
      <c r="AL61" s="163"/>
      <c r="AM61" s="172"/>
      <c r="AN61" s="172"/>
      <c r="AO61" s="172"/>
      <c r="AP61" s="497"/>
      <c r="AQ61" s="537"/>
    </row>
    <row r="62" spans="1:173" ht="15" customHeight="1" x14ac:dyDescent="0.2">
      <c r="A62" s="447"/>
      <c r="B62" s="570" t="s">
        <v>88</v>
      </c>
      <c r="C62" s="325"/>
      <c r="D62" s="441"/>
      <c r="E62" s="441"/>
      <c r="F62" s="441"/>
      <c r="G62" s="438"/>
      <c r="H62" s="200"/>
      <c r="I62" s="507"/>
      <c r="J62" s="573"/>
      <c r="K62" s="497"/>
      <c r="L62" s="497"/>
      <c r="M62" s="497"/>
      <c r="N62" s="497"/>
      <c r="O62" s="510"/>
      <c r="P62" s="497"/>
      <c r="Q62" s="572"/>
      <c r="R62" s="130"/>
      <c r="S62" s="178"/>
      <c r="T62" s="178"/>
      <c r="U62" s="178"/>
      <c r="V62" s="178"/>
      <c r="W62" s="178"/>
      <c r="X62" s="178"/>
      <c r="Y62" s="178"/>
      <c r="Z62" s="131" t="str">
        <f>IFERROR(IF(AND(S61="Probabilidad",S62="Probabilidad"),(Z61-(+Z61*V62)),IF(S62="Probabilidad",(L61-(+L61*V62)),IF(S62="Impacto",Z61,""))),"")</f>
        <v/>
      </c>
      <c r="AA62" s="219"/>
      <c r="AB62" s="219"/>
      <c r="AC62" s="497"/>
      <c r="AD62" s="182" t="str">
        <f t="shared" ref="AD62:AD65" si="10">IFERROR(IF(AND(S61="Impacto",V62="Impacto"),(AD61-(+AD61*V62)),IF(S62="Impacto",(O61-(+O61*V62)),IF(S62="Probabilidad",AD61,""))),"")</f>
        <v/>
      </c>
      <c r="AE62" s="219"/>
      <c r="AF62" s="219"/>
      <c r="AG62" s="497"/>
      <c r="AH62" s="497"/>
      <c r="AI62" s="497"/>
      <c r="AJ62" s="172"/>
      <c r="AK62" s="172"/>
      <c r="AL62" s="163"/>
      <c r="AM62" s="172"/>
      <c r="AN62" s="172"/>
      <c r="AO62" s="172"/>
      <c r="AP62" s="497"/>
      <c r="AQ62" s="537"/>
    </row>
    <row r="63" spans="1:173" ht="15" customHeight="1" x14ac:dyDescent="0.2">
      <c r="A63" s="447"/>
      <c r="B63" s="570" t="s">
        <v>88</v>
      </c>
      <c r="C63" s="325"/>
      <c r="D63" s="441"/>
      <c r="E63" s="441"/>
      <c r="F63" s="441"/>
      <c r="G63" s="438"/>
      <c r="H63" s="200"/>
      <c r="I63" s="507"/>
      <c r="J63" s="573"/>
      <c r="K63" s="497"/>
      <c r="L63" s="497"/>
      <c r="M63" s="497"/>
      <c r="N63" s="497"/>
      <c r="O63" s="510"/>
      <c r="P63" s="497"/>
      <c r="Q63" s="572"/>
      <c r="R63" s="130"/>
      <c r="S63" s="178"/>
      <c r="T63" s="178"/>
      <c r="U63" s="178"/>
      <c r="V63" s="178"/>
      <c r="W63" s="178"/>
      <c r="X63" s="178"/>
      <c r="Y63" s="178"/>
      <c r="Z63" s="131" t="str">
        <f>IFERROR(IF(AND(S62="Probabilidad",S63="Probabilidad"),(Z62-(+Z62*V63)),IF(S63="Probabilidad",(L62-(+L62*V63)),IF(S63="Impacto",Z62,""))),"")</f>
        <v/>
      </c>
      <c r="AA63" s="219"/>
      <c r="AB63" s="219"/>
      <c r="AC63" s="497"/>
      <c r="AD63" s="182" t="str">
        <f t="shared" si="10"/>
        <v/>
      </c>
      <c r="AE63" s="219"/>
      <c r="AF63" s="219"/>
      <c r="AG63" s="497"/>
      <c r="AH63" s="497"/>
      <c r="AI63" s="497"/>
      <c r="AJ63" s="172"/>
      <c r="AK63" s="172"/>
      <c r="AL63" s="163"/>
      <c r="AM63" s="172"/>
      <c r="AN63" s="172"/>
      <c r="AO63" s="172"/>
      <c r="AP63" s="497"/>
      <c r="AQ63" s="537"/>
    </row>
    <row r="64" spans="1:173" ht="15" customHeight="1" x14ac:dyDescent="0.2">
      <c r="A64" s="447"/>
      <c r="B64" s="570" t="s">
        <v>88</v>
      </c>
      <c r="C64" s="325"/>
      <c r="D64" s="441"/>
      <c r="E64" s="441"/>
      <c r="F64" s="441"/>
      <c r="G64" s="438"/>
      <c r="H64" s="200"/>
      <c r="I64" s="507"/>
      <c r="J64" s="573"/>
      <c r="K64" s="497"/>
      <c r="L64" s="497"/>
      <c r="M64" s="497"/>
      <c r="N64" s="497"/>
      <c r="O64" s="510"/>
      <c r="P64" s="497"/>
      <c r="Q64" s="572"/>
      <c r="R64" s="130"/>
      <c r="S64" s="178"/>
      <c r="T64" s="178"/>
      <c r="U64" s="178"/>
      <c r="V64" s="178" t="str">
        <f t="shared" ref="V64:V65" si="11">IF(AND(T64=$FS$2,U64=$FT$2),"50%",IF(AND(T64=$FS$2,U64=$FT$3),"40%",IF(AND(T64=$FS$3,U64=$FT$2),"40%",IF(AND(T64=$FS$3,U64=$FT$3),"30%",IF(AND(T64=$FS$4,U64=$FT$2),"35%",IF(AND(T64=$FS$4,U64=$FT$3),"25%",""))))))</f>
        <v/>
      </c>
      <c r="W64" s="178"/>
      <c r="X64" s="178"/>
      <c r="Y64" s="178"/>
      <c r="Z64" s="131" t="str">
        <f>IFERROR(IF(AND(S63="Probabilidad",S64="Probabilidad"),(Z63-(+Z63*V64)),IF(S64="Probabilidad",(L63-(+L63*V64)),IF(S64="Impacto",Z63,""))),"")</f>
        <v/>
      </c>
      <c r="AA64" s="219"/>
      <c r="AB64" s="219"/>
      <c r="AC64" s="497"/>
      <c r="AD64" s="182" t="str">
        <f t="shared" si="10"/>
        <v/>
      </c>
      <c r="AE64" s="219"/>
      <c r="AF64" s="219"/>
      <c r="AG64" s="497"/>
      <c r="AH64" s="497"/>
      <c r="AI64" s="497"/>
      <c r="AJ64" s="172"/>
      <c r="AK64" s="172"/>
      <c r="AL64" s="163"/>
      <c r="AM64" s="172"/>
      <c r="AN64" s="172"/>
      <c r="AO64" s="172"/>
      <c r="AP64" s="497"/>
      <c r="AQ64" s="537"/>
    </row>
    <row r="65" spans="1:173" ht="15" customHeight="1" x14ac:dyDescent="0.2">
      <c r="A65" s="460"/>
      <c r="B65" s="570" t="s">
        <v>88</v>
      </c>
      <c r="C65" s="459"/>
      <c r="D65" s="458"/>
      <c r="E65" s="458"/>
      <c r="F65" s="458"/>
      <c r="G65" s="457"/>
      <c r="H65" s="201"/>
      <c r="I65" s="508"/>
      <c r="J65" s="574"/>
      <c r="K65" s="498"/>
      <c r="L65" s="498"/>
      <c r="M65" s="498"/>
      <c r="N65" s="498"/>
      <c r="O65" s="511"/>
      <c r="P65" s="498"/>
      <c r="Q65" s="572"/>
      <c r="R65" s="130"/>
      <c r="S65" s="178"/>
      <c r="T65" s="178"/>
      <c r="U65" s="178"/>
      <c r="V65" s="178" t="str">
        <f t="shared" si="11"/>
        <v/>
      </c>
      <c r="W65" s="178"/>
      <c r="X65" s="178"/>
      <c r="Y65" s="178"/>
      <c r="Z65" s="131" t="str">
        <f>IFERROR(IF(AND(S64="Probabilidad",S65="Probabilidad"),(Z64-(+Z64*V65)),IF(S65="Probabilidad",(L64-(+L64*V65)),IF(S65="Impacto",Z64,""))),"")</f>
        <v/>
      </c>
      <c r="AA65" s="220"/>
      <c r="AB65" s="220"/>
      <c r="AC65" s="498"/>
      <c r="AD65" s="182" t="str">
        <f t="shared" si="10"/>
        <v/>
      </c>
      <c r="AE65" s="220"/>
      <c r="AF65" s="220"/>
      <c r="AG65" s="498"/>
      <c r="AH65" s="498"/>
      <c r="AI65" s="498"/>
      <c r="AJ65" s="172"/>
      <c r="AK65" s="172"/>
      <c r="AL65" s="163"/>
      <c r="AM65" s="172"/>
      <c r="AN65" s="172"/>
      <c r="AO65" s="172"/>
      <c r="AP65" s="498"/>
      <c r="AQ65" s="538"/>
    </row>
    <row r="66" spans="1:173" s="78" customFormat="1" ht="13.5" customHeight="1" x14ac:dyDescent="0.25">
      <c r="A66" s="446">
        <v>13</v>
      </c>
      <c r="B66" s="127" t="s">
        <v>166</v>
      </c>
      <c r="C66" s="444" t="s">
        <v>248</v>
      </c>
      <c r="D66" s="440" t="s">
        <v>345</v>
      </c>
      <c r="E66" s="440" t="s">
        <v>346</v>
      </c>
      <c r="F66" s="440" t="s">
        <v>795</v>
      </c>
      <c r="G66" s="437" t="s">
        <v>149</v>
      </c>
      <c r="H66" s="199" t="s">
        <v>150</v>
      </c>
      <c r="I66" s="527" t="s">
        <v>151</v>
      </c>
      <c r="J66" s="571">
        <v>2400</v>
      </c>
      <c r="K66" s="496" t="str">
        <f>IF(AND(J66&lt;=2),"Muy Baja",IF(AND(J66&gt;=3,J66&lt;=23),"Baja",IF(AND(J66&gt;=24,J66&lt;=499),"Media",IF(AND(J66&gt;=500,J66&lt;=4999),"Alta",IF(AND(J66&gt;=5000),"Muy Alta",FALSE)))))</f>
        <v>Alta</v>
      </c>
      <c r="L66" s="496" t="str">
        <f>IF(AND(J66&lt;=2),"20%",IF(AND(J66&gt;=3,J66&lt;=23),"40%",IF(AND(J66&gt;=24,J66&lt;=499),"60%",IF(AND(J66&gt;=500,J66&lt;=4999),"80%",IF(AND(J66&gt;=5000),"100%",FALSE)))))</f>
        <v>80%</v>
      </c>
      <c r="M66" s="496" t="s">
        <v>162</v>
      </c>
      <c r="N66" s="496" t="str">
        <f>IF(AND(M66=$FQ$4),"Leve",IF(AND(M66=$FQ$5),"Menor",IF(AND(M66=$FQ$6),"Moderado",IF(AND(M66=$FQ$7),"mayor",IF(AND(M66=$FQ$8),"Catastrófico",IF(AND(M66=$FQ$10),"Leve",IF(AND(M66=$FQ$11),"Menor",IF(AND(M66=$FQ$12),"Moderado",IF(AND(M66=$FQ$13),"Mayor",IF(AND(M66=$FQ$14),"Catastrófico",FALSE))))))))))</f>
        <v>Moderado</v>
      </c>
      <c r="O66" s="509" t="str">
        <f>IF(AND(N66="Leve"),"20%",IF(AND(N66="Menor"),"40%",IF(AND(N66="Moderado"),"60%",IF(AND(N66="Mayor"),"80%",IF(AND(N66="Catastrófico"),"100%","")))))</f>
        <v>60%</v>
      </c>
      <c r="P66" s="496" t="str">
        <f>INDEX('[3]MATRIZ RIESGO'!$D$6:$H$10,MATCH(K66,'[3]MATRIZ RIESGO'!$C$6:$C$10,),MATCH(N66,'[3]MATRIZ RIESGO'!$D$5:$H$5,))</f>
        <v>Alto</v>
      </c>
      <c r="Q66" s="572">
        <v>1</v>
      </c>
      <c r="R66" s="130" t="s">
        <v>796</v>
      </c>
      <c r="S66" s="178" t="s">
        <v>237</v>
      </c>
      <c r="T66" s="178" t="s">
        <v>152</v>
      </c>
      <c r="U66" s="178" t="s">
        <v>153</v>
      </c>
      <c r="V66" s="178" t="str">
        <f>IF(AND(T66=$FS$2,U66=$FT$2),"50%",IF(AND(T66=$FS$2,U66=$FT$3),"40%",IF(AND(T66=$FS$3,U66=$FT$2),"40%",IF(AND(T66=$FS$3,U66=$FT$3),"30%",IF(AND(T66=$FS$4,U66=$FT$2),"35%",IF(AND(T66=$FS$4,U66=$FT$3),"25%",""))))))</f>
        <v>40%</v>
      </c>
      <c r="W66" s="178" t="s">
        <v>154</v>
      </c>
      <c r="X66" s="178" t="s">
        <v>155</v>
      </c>
      <c r="Y66" s="178" t="s">
        <v>156</v>
      </c>
      <c r="Z66" s="131">
        <f>IFERROR(IF(S66="Probabilidad",(L66-(+L66*V66)),IF(S66="Impacto",L66,"")),"")</f>
        <v>0.48</v>
      </c>
      <c r="AA66" s="218">
        <f>LOOKUP(2,1/(Z66:Z71&lt;&gt;""),Z66:Z71)</f>
        <v>0.24</v>
      </c>
      <c r="AB66" s="218">
        <f>AA66*1</f>
        <v>0.24</v>
      </c>
      <c r="AC66" s="496" t="str">
        <f>IF(AND(AB66&lt;=20%),"Muy Baja",IF(AND(AB66&gt;=21%,AB66&lt;=40%),"Baja",IF(AND(AB66&gt;=41%,AB66&lt;=60%),"Media",IF(AND(AB66&gt;=61%,AB66&lt;=80%),"Alta",IF(AND(AB66&gt;=81%,AB66&gt;=100%),"Muy Alta",FALSE)))))</f>
        <v>Baja</v>
      </c>
      <c r="AD66" s="182" t="str">
        <f>IFERROR(IF(S66="Impacto",(O66-(+O66*V66)),IF(S66="Probabilidad",O66,"")),"")</f>
        <v>60%</v>
      </c>
      <c r="AE66" s="218" t="str">
        <f>LOOKUP(2,1/(AD66:AD71&lt;&gt;""),AD66:AD71)</f>
        <v>60%</v>
      </c>
      <c r="AF66" s="218">
        <f>AE66*1</f>
        <v>0.6</v>
      </c>
      <c r="AG66" s="496" t="str">
        <f>CHOOSE((AF66&gt;=0%)+(AF66&gt;=21%)+(AF66&gt;=41%)+(AF66&gt;=61%)+(AF66&gt;=81%),"Leve","Menor","Moderado","Mayor","Catastrófico")</f>
        <v>Moderado</v>
      </c>
      <c r="AH66" s="496" t="str">
        <f>INDEX('[3]MATRIZ RIESGO'!$D$6:$H$10,MATCH(AC66,'[3]MATRIZ RIESGO'!$C$6:$C$10,),MATCH(AG66,'[3]MATRIZ RIESGO'!$D$5:$H$5,))</f>
        <v>Moderado</v>
      </c>
      <c r="AI66" s="496" t="s">
        <v>77</v>
      </c>
      <c r="AJ66" s="172"/>
      <c r="AK66" s="172"/>
      <c r="AL66" s="163"/>
      <c r="AM66" s="172"/>
      <c r="AN66" s="172"/>
      <c r="AO66" s="172"/>
      <c r="AP66" s="496" t="s">
        <v>172</v>
      </c>
      <c r="AQ66" s="539" t="s">
        <v>113</v>
      </c>
      <c r="FM66" s="89"/>
      <c r="FP66" s="78" t="s">
        <v>255</v>
      </c>
      <c r="FQ66" s="80" t="s">
        <v>256</v>
      </c>
    </row>
    <row r="67" spans="1:173" s="78" customFormat="1" ht="13.5" customHeight="1" x14ac:dyDescent="0.2">
      <c r="A67" s="447"/>
      <c r="B67" s="127" t="s">
        <v>166</v>
      </c>
      <c r="C67" s="325"/>
      <c r="D67" s="441"/>
      <c r="E67" s="441"/>
      <c r="F67" s="441"/>
      <c r="G67" s="438"/>
      <c r="H67" s="200"/>
      <c r="I67" s="507"/>
      <c r="J67" s="573"/>
      <c r="K67" s="497"/>
      <c r="L67" s="497"/>
      <c r="M67" s="497"/>
      <c r="N67" s="497"/>
      <c r="O67" s="510"/>
      <c r="P67" s="497"/>
      <c r="Q67" s="572">
        <v>2</v>
      </c>
      <c r="R67" s="130" t="s">
        <v>731</v>
      </c>
      <c r="S67" s="178" t="s">
        <v>237</v>
      </c>
      <c r="T67" s="178" t="s">
        <v>152</v>
      </c>
      <c r="U67" s="178" t="s">
        <v>171</v>
      </c>
      <c r="V67" s="178" t="str">
        <f>IF(AND(T67=$FS$2,U67=$FT$2),"50%",IF(AND(T67=$FS$2,U67=$FT$3),"40%",IF(AND(T67=$FS$3,U67=$FT$2),"40%",IF(AND(T67=$FS$3,U67=$FT$3),"30%",IF(AND(T67=$FS$4,U67=$FT$2),"35%",IF(AND(T67=$FS$4,U67=$FT$3),"25%",""))))))</f>
        <v>50%</v>
      </c>
      <c r="W67" s="178" t="s">
        <v>154</v>
      </c>
      <c r="X67" s="178" t="s">
        <v>155</v>
      </c>
      <c r="Y67" s="178" t="s">
        <v>156</v>
      </c>
      <c r="Z67" s="131">
        <f>IFERROR(IF(AND(S66="Probabilidad",S67="Probabilidad"),(Z66-(+Z66*V67)),IF(S67="Probabilidad",(L66-(+L66*V67)),IF(S67="Impacto",Z66,""))),"")</f>
        <v>0.24</v>
      </c>
      <c r="AA67" s="219"/>
      <c r="AB67" s="219"/>
      <c r="AC67" s="497"/>
      <c r="AD67" s="182" t="str">
        <f>IFERROR(IF(AND(S66="Impacto",V67="Impacto"),(AD66-(+AD66*V67)),IF(S67="Impacto",(O66-(+O66*V67)),IF(S67="Probabilidad",AD66,""))),"")</f>
        <v>60%</v>
      </c>
      <c r="AE67" s="219"/>
      <c r="AF67" s="219"/>
      <c r="AG67" s="497"/>
      <c r="AH67" s="497"/>
      <c r="AI67" s="497"/>
      <c r="AJ67" s="172"/>
      <c r="AK67" s="172"/>
      <c r="AL67" s="163"/>
      <c r="AM67" s="172"/>
      <c r="AN67" s="172"/>
      <c r="AO67" s="172"/>
      <c r="AP67" s="497"/>
      <c r="AQ67" s="537"/>
      <c r="FM67" s="89"/>
      <c r="FP67" s="78" t="s">
        <v>196</v>
      </c>
      <c r="FQ67" s="87" t="s">
        <v>158</v>
      </c>
    </row>
    <row r="68" spans="1:173" s="78" customFormat="1" ht="13.5" customHeight="1" x14ac:dyDescent="0.2">
      <c r="A68" s="447"/>
      <c r="B68" s="127" t="s">
        <v>166</v>
      </c>
      <c r="C68" s="325"/>
      <c r="D68" s="441"/>
      <c r="E68" s="441"/>
      <c r="F68" s="441"/>
      <c r="G68" s="438"/>
      <c r="H68" s="200"/>
      <c r="I68" s="507"/>
      <c r="J68" s="573"/>
      <c r="K68" s="497"/>
      <c r="L68" s="497"/>
      <c r="M68" s="497"/>
      <c r="N68" s="497"/>
      <c r="O68" s="510"/>
      <c r="P68" s="497"/>
      <c r="Q68" s="572"/>
      <c r="R68" s="132"/>
      <c r="S68" s="178"/>
      <c r="T68" s="178"/>
      <c r="U68" s="178"/>
      <c r="V68" s="178" t="str">
        <f>IF(AND(T68=$FS$2,U68=$FT$2),"50%",IF(AND(T68=$FS$2,U68=$FT$3),"40%",IF(AND(T68=$FS$3,U68=$FT$2),"40%",IF(AND(T68=$FS$3,U68=$FT$3),"30%",IF(AND(T68=$FS$4,U68=$FT$2),"35%",IF(AND(T68=$FS$4,U68=$FT$3),"25%",""))))))</f>
        <v/>
      </c>
      <c r="W68" s="178"/>
      <c r="X68" s="178"/>
      <c r="Y68" s="178"/>
      <c r="Z68" s="131" t="str">
        <f>IFERROR(IF(AND(S67="Probabilidad",S68="Probabilidad"),(Z67-(+Z67*V68)),IF(S68="Probabilidad",(L67-(+L67*V68)),IF(S68="Impacto",Z67,""))),"")</f>
        <v/>
      </c>
      <c r="AA68" s="219"/>
      <c r="AB68" s="219"/>
      <c r="AC68" s="497"/>
      <c r="AD68" s="182" t="str">
        <f>IFERROR(IF(AND(S67="Impacto",V68="Impacto"),(AD67-(+AD67*V68)),IF(S68="Impacto",(O67-(+O67*V68)),IF(S68="Probabilidad",AD67,""))),"")</f>
        <v/>
      </c>
      <c r="AE68" s="219"/>
      <c r="AF68" s="219"/>
      <c r="AG68" s="497"/>
      <c r="AH68" s="497"/>
      <c r="AI68" s="497"/>
      <c r="AJ68" s="172"/>
      <c r="AK68" s="172"/>
      <c r="AL68" s="163"/>
      <c r="AM68" s="172"/>
      <c r="AN68" s="172"/>
      <c r="AO68" s="172"/>
      <c r="AP68" s="497"/>
      <c r="AQ68" s="537"/>
      <c r="FM68" s="89"/>
      <c r="FQ68" s="87" t="s">
        <v>160</v>
      </c>
    </row>
    <row r="69" spans="1:173" s="78" customFormat="1" ht="13.5" customHeight="1" x14ac:dyDescent="0.2">
      <c r="A69" s="447"/>
      <c r="B69" s="127" t="s">
        <v>166</v>
      </c>
      <c r="C69" s="325"/>
      <c r="D69" s="441"/>
      <c r="E69" s="441"/>
      <c r="F69" s="441"/>
      <c r="G69" s="438"/>
      <c r="H69" s="200"/>
      <c r="I69" s="507"/>
      <c r="J69" s="573"/>
      <c r="K69" s="497"/>
      <c r="L69" s="497"/>
      <c r="M69" s="497"/>
      <c r="N69" s="497"/>
      <c r="O69" s="510"/>
      <c r="P69" s="497"/>
      <c r="Q69" s="572"/>
      <c r="R69" s="132"/>
      <c r="S69" s="132"/>
      <c r="T69" s="132"/>
      <c r="U69" s="132"/>
      <c r="V69" s="132"/>
      <c r="W69" s="132"/>
      <c r="X69" s="132"/>
      <c r="Y69" s="132"/>
      <c r="Z69" s="131" t="str">
        <f>IFERROR(IF(AND(S68="Probabilidad",#REF!="Probabilidad"),(Z68-(+Z68*#REF!)),IF(#REF!="Probabilidad",(L68-(+L68*#REF!)),IF(#REF!="Impacto",Z68,""))),"")</f>
        <v/>
      </c>
      <c r="AA69" s="219"/>
      <c r="AB69" s="219"/>
      <c r="AC69" s="497"/>
      <c r="AD69" s="182" t="str">
        <f>IFERROR(IF(AND(S68="Impacto",#REF!="Impacto"),(AD68-(+AD68*#REF!)),IF(#REF!="Impacto",(O68-(+O68*#REF!)),IF(#REF!="Probabilidad",AD68,""))),"")</f>
        <v/>
      </c>
      <c r="AE69" s="219"/>
      <c r="AF69" s="219"/>
      <c r="AG69" s="497"/>
      <c r="AH69" s="497"/>
      <c r="AI69" s="497"/>
      <c r="AJ69" s="172"/>
      <c r="AK69" s="172"/>
      <c r="AL69" s="163"/>
      <c r="AM69" s="172"/>
      <c r="AN69" s="172"/>
      <c r="AO69" s="172"/>
      <c r="AP69" s="497"/>
      <c r="AQ69" s="537"/>
      <c r="FM69" s="89"/>
      <c r="FQ69" s="87" t="s">
        <v>162</v>
      </c>
    </row>
    <row r="70" spans="1:173" s="78" customFormat="1" ht="13.5" customHeight="1" x14ac:dyDescent="0.2">
      <c r="A70" s="447"/>
      <c r="B70" s="127" t="s">
        <v>166</v>
      </c>
      <c r="C70" s="325"/>
      <c r="D70" s="441"/>
      <c r="E70" s="441"/>
      <c r="F70" s="441"/>
      <c r="G70" s="438"/>
      <c r="H70" s="200"/>
      <c r="I70" s="507"/>
      <c r="J70" s="573"/>
      <c r="K70" s="497"/>
      <c r="L70" s="497"/>
      <c r="M70" s="497"/>
      <c r="N70" s="497"/>
      <c r="O70" s="510"/>
      <c r="P70" s="497"/>
      <c r="Q70" s="572"/>
      <c r="R70" s="130"/>
      <c r="S70" s="178"/>
      <c r="T70" s="178"/>
      <c r="U70" s="178"/>
      <c r="V70" s="178" t="str">
        <f t="shared" ref="V70:V71" si="12">IF(AND(T70=$FS$2,U70=$FT$2),"50%",IF(AND(T70=$FS$2,U70=$FT$3),"40%",IF(AND(T70=$FS$3,U70=$FT$2),"40%",IF(AND(T70=$FS$3,U70=$FT$3),"30%",IF(AND(T70=$FS$4,U70=$FT$2),"35%",IF(AND(T70=$FS$4,U70=$FT$3),"25%",""))))))</f>
        <v/>
      </c>
      <c r="W70" s="178"/>
      <c r="X70" s="178"/>
      <c r="Y70" s="178"/>
      <c r="Z70" s="131" t="str">
        <f>IFERROR(IF(AND(#REF!="Probabilidad",S70="Probabilidad"),(Z69-(+Z69*V70)),IF(S70="Probabilidad",(L69-(+L69*V70)),IF(S70="Impacto",Z69,""))),"")</f>
        <v/>
      </c>
      <c r="AA70" s="219"/>
      <c r="AB70" s="219"/>
      <c r="AC70" s="497"/>
      <c r="AD70" s="182" t="str">
        <f>IFERROR(IF(AND(#REF!="Impacto",V70="Impacto"),(AD69-(+AD69*V70)),IF(S70="Impacto",(O69-(+O69*V70)),IF(S70="Probabilidad",AD69,""))),"")</f>
        <v/>
      </c>
      <c r="AE70" s="219"/>
      <c r="AF70" s="219"/>
      <c r="AG70" s="497"/>
      <c r="AH70" s="497"/>
      <c r="AI70" s="497"/>
      <c r="AJ70" s="172"/>
      <c r="AK70" s="172"/>
      <c r="AL70" s="163"/>
      <c r="AM70" s="172"/>
      <c r="AN70" s="172"/>
      <c r="AO70" s="172"/>
      <c r="AP70" s="497"/>
      <c r="AQ70" s="537"/>
      <c r="FM70" s="89"/>
      <c r="FQ70" s="87" t="s">
        <v>257</v>
      </c>
    </row>
    <row r="71" spans="1:173" s="78" customFormat="1" ht="13.5" customHeight="1" x14ac:dyDescent="0.2">
      <c r="A71" s="460"/>
      <c r="B71" s="127" t="s">
        <v>166</v>
      </c>
      <c r="C71" s="459"/>
      <c r="D71" s="458"/>
      <c r="E71" s="458"/>
      <c r="F71" s="458"/>
      <c r="G71" s="457"/>
      <c r="H71" s="201"/>
      <c r="I71" s="508"/>
      <c r="J71" s="574"/>
      <c r="K71" s="498"/>
      <c r="L71" s="498"/>
      <c r="M71" s="498"/>
      <c r="N71" s="498"/>
      <c r="O71" s="511"/>
      <c r="P71" s="498"/>
      <c r="Q71" s="572"/>
      <c r="R71" s="130"/>
      <c r="S71" s="178"/>
      <c r="T71" s="178"/>
      <c r="U71" s="178"/>
      <c r="V71" s="178" t="str">
        <f t="shared" si="12"/>
        <v/>
      </c>
      <c r="W71" s="178"/>
      <c r="X71" s="178"/>
      <c r="Y71" s="178"/>
      <c r="Z71" s="131" t="str">
        <f>IFERROR(IF(AND(S70="Probabilidad",S71="Probabilidad"),(Z70-(+Z70*V71)),IF(S71="Probabilidad",(L70-(+L70*V71)),IF(S71="Impacto",Z70,""))),"")</f>
        <v/>
      </c>
      <c r="AA71" s="220"/>
      <c r="AB71" s="220"/>
      <c r="AC71" s="498"/>
      <c r="AD71" s="182" t="str">
        <f t="shared" ref="AD71" si="13">IFERROR(IF(AND(S70="Impacto",V71="Impacto"),(AD70-(+AD70*V71)),IF(S71="Impacto",(O70-(+O70*V71)),IF(S71="Probabilidad",AD70,""))),"")</f>
        <v/>
      </c>
      <c r="AE71" s="220"/>
      <c r="AF71" s="220"/>
      <c r="AG71" s="498"/>
      <c r="AH71" s="498"/>
      <c r="AI71" s="498"/>
      <c r="AJ71" s="172"/>
      <c r="AK71" s="172"/>
      <c r="AL71" s="163"/>
      <c r="AM71" s="172"/>
      <c r="AN71" s="172"/>
      <c r="AO71" s="172"/>
      <c r="AP71" s="498"/>
      <c r="AQ71" s="538"/>
      <c r="FM71" s="89"/>
      <c r="FQ71" s="87" t="s">
        <v>170</v>
      </c>
    </row>
    <row r="72" spans="1:173" s="78" customFormat="1" ht="13.5" customHeight="1" x14ac:dyDescent="0.25">
      <c r="A72" s="446">
        <v>14</v>
      </c>
      <c r="B72" s="127" t="s">
        <v>166</v>
      </c>
      <c r="C72" s="444" t="s">
        <v>248</v>
      </c>
      <c r="D72" s="440" t="s">
        <v>347</v>
      </c>
      <c r="E72" s="440" t="s">
        <v>348</v>
      </c>
      <c r="F72" s="440" t="s">
        <v>349</v>
      </c>
      <c r="G72" s="437" t="s">
        <v>149</v>
      </c>
      <c r="H72" s="199" t="s">
        <v>270</v>
      </c>
      <c r="I72" s="527" t="s">
        <v>151</v>
      </c>
      <c r="J72" s="571">
        <v>2400</v>
      </c>
      <c r="K72" s="496" t="str">
        <f>IF(AND(J72&lt;=2),"Muy Baja",IF(AND(J72&gt;=3,J72&lt;=23),"Baja",IF(AND(J72&gt;=24,J72&lt;=499),"Media",IF(AND(J72&gt;=500,J72&lt;=4999),"Alta",IF(AND(J72&gt;=5000),"Muy Alta",FALSE)))))</f>
        <v>Alta</v>
      </c>
      <c r="L72" s="496" t="str">
        <f>IF(AND(J72&lt;=2),"20%",IF(AND(J72&gt;=3,J72&lt;=23),"40%",IF(AND(J72&gt;=24,J72&lt;=499),"60%",IF(AND(J72&gt;=500,J72&lt;=4999),"80%",IF(AND(J72&gt;=5000),"100%",FALSE)))))</f>
        <v>80%</v>
      </c>
      <c r="M72" s="496" t="s">
        <v>162</v>
      </c>
      <c r="N72" s="496" t="str">
        <f>IF(AND(M72=$FQ$4),"Leve",IF(AND(M72=$FQ$5),"Menor",IF(AND(M72=$FQ$6),"Moderado",IF(AND(M72=$FQ$7),"mayor",IF(AND(M72=$FQ$8),"Catastrófico",IF(AND(M72=$FQ$10),"Leve",IF(AND(M72=$FQ$11),"Menor",IF(AND(M72=$FQ$12),"Moderado",IF(AND(M72=$FQ$13),"Mayor",IF(AND(M72=$FQ$14),"Catastrófico",FALSE))))))))))</f>
        <v>Moderado</v>
      </c>
      <c r="O72" s="509" t="str">
        <f>IF(AND(N72="Leve"),"20%",IF(AND(N72="Menor"),"40%",IF(AND(N72="Moderado"),"60%",IF(AND(N72="Mayor"),"80%",IF(AND(N72="Catastrófico"),"100%","")))))</f>
        <v>60%</v>
      </c>
      <c r="P72" s="496" t="str">
        <f>INDEX('[3]MATRIZ RIESGO'!$D$6:$H$10,MATCH(K72,'[3]MATRIZ RIESGO'!$C$6:$C$10,),MATCH(N72,'[3]MATRIZ RIESGO'!$D$5:$H$5,))</f>
        <v>Alto</v>
      </c>
      <c r="Q72" s="572">
        <v>1</v>
      </c>
      <c r="R72" s="130" t="s">
        <v>797</v>
      </c>
      <c r="S72" s="178" t="s">
        <v>237</v>
      </c>
      <c r="T72" s="178" t="s">
        <v>152</v>
      </c>
      <c r="U72" s="178" t="s">
        <v>153</v>
      </c>
      <c r="V72" s="178" t="str">
        <f>IF(AND(T72=$FS$2,U72=$FT$2),"50%",IF(AND(T72=$FS$2,U72=$FT$3),"40%",IF(AND(T72=$FS$3,U72=$FT$2),"40%",IF(AND(T72=$FS$3,U72=$FT$3),"30%",IF(AND(T72=$FS$4,U72=$FT$2),"35%",IF(AND(T72=$FS$4,U72=$FT$3),"25%",""))))))</f>
        <v>40%</v>
      </c>
      <c r="W72" s="178" t="s">
        <v>154</v>
      </c>
      <c r="X72" s="178" t="s">
        <v>155</v>
      </c>
      <c r="Y72" s="178" t="s">
        <v>156</v>
      </c>
      <c r="Z72" s="131">
        <f>IFERROR(IF(S72="Probabilidad",(L72-(+L72*V72)),IF(S72="Impacto",L72,"")),"")</f>
        <v>0.48</v>
      </c>
      <c r="AA72" s="218">
        <f>LOOKUP(2,1/(Z72:Z77&lt;&gt;""),Z72:Z77)</f>
        <v>0.17279999999999998</v>
      </c>
      <c r="AB72" s="218">
        <f t="shared" ref="AB72" si="14">AA72*1</f>
        <v>0.17279999999999998</v>
      </c>
      <c r="AC72" s="496" t="str">
        <f t="shared" ref="AC72" si="15">IF(AND(AB72&lt;=20%),"Muy Baja",IF(AND(AB72&gt;=21%,AB72&lt;=40%),"Baja",IF(AND(AB72&gt;=41%,AB72&lt;=60%),"Media",IF(AND(AB72&gt;=61%,AB72&lt;=80%),"Alta",IF(AND(AB72&gt;=81%,AB72&gt;=100%),"Muy Alta",FALSE)))))</f>
        <v>Muy Baja</v>
      </c>
      <c r="AD72" s="182" t="str">
        <f>IFERROR(IF(S72="Impacto",(O72-(+O72*V72)),IF(S72="Probabilidad",O72,"")),"")</f>
        <v>60%</v>
      </c>
      <c r="AE72" s="218" t="str">
        <f>LOOKUP(2,1/(AD72:AD77&lt;&gt;""),AD72:AD77)</f>
        <v>60%</v>
      </c>
      <c r="AF72" s="218">
        <f>AE72*1</f>
        <v>0.6</v>
      </c>
      <c r="AG72" s="496" t="str">
        <f t="shared" ref="AG72" si="16">CHOOSE((AF72&gt;=0%)+(AF72&gt;=21%)+(AF72&gt;=41%)+(AF72&gt;=61%)+(AF72&gt;=81%),"Leve","Menor","Moderado","Mayor","Catastrófico")</f>
        <v>Moderado</v>
      </c>
      <c r="AH72" s="496" t="str">
        <f>INDEX('[3]MATRIZ RIESGO'!$D$6:$H$10,MATCH(AC72,'[3]MATRIZ RIESGO'!$C$6:$C$10,),MATCH(AG72,'[3]MATRIZ RIESGO'!$D$5:$H$5,))</f>
        <v>Moderado</v>
      </c>
      <c r="AI72" s="496" t="s">
        <v>111</v>
      </c>
      <c r="AJ72" s="172"/>
      <c r="AK72" s="172"/>
      <c r="AL72" s="163"/>
      <c r="AM72" s="172"/>
      <c r="AN72" s="172"/>
      <c r="AO72" s="172"/>
      <c r="AP72" s="496" t="s">
        <v>350</v>
      </c>
      <c r="AQ72" s="539" t="s">
        <v>113</v>
      </c>
      <c r="FM72" s="89"/>
      <c r="FQ72" s="80"/>
    </row>
    <row r="73" spans="1:173" s="78" customFormat="1" ht="13.5" customHeight="1" x14ac:dyDescent="0.25">
      <c r="A73" s="447"/>
      <c r="B73" s="127" t="s">
        <v>166</v>
      </c>
      <c r="C73" s="325"/>
      <c r="D73" s="441"/>
      <c r="E73" s="441"/>
      <c r="F73" s="441"/>
      <c r="G73" s="438"/>
      <c r="H73" s="200"/>
      <c r="I73" s="507"/>
      <c r="J73" s="573"/>
      <c r="K73" s="497"/>
      <c r="L73" s="497"/>
      <c r="M73" s="497"/>
      <c r="N73" s="497"/>
      <c r="O73" s="510"/>
      <c r="P73" s="497"/>
      <c r="Q73" s="572">
        <v>2</v>
      </c>
      <c r="R73" s="130" t="s">
        <v>798</v>
      </c>
      <c r="S73" s="178" t="s">
        <v>237</v>
      </c>
      <c r="T73" s="178" t="s">
        <v>152</v>
      </c>
      <c r="U73" s="178" t="s">
        <v>153</v>
      </c>
      <c r="V73" s="178" t="str">
        <f t="shared" ref="V73:V77" si="17">IF(AND(T73=$FS$2,U73=$FT$2),"50%",IF(AND(T73=$FS$2,U73=$FT$3),"40%",IF(AND(T73=$FS$3,U73=$FT$2),"40%",IF(AND(T73=$FS$3,U73=$FT$3),"30%",IF(AND(T73=$FS$4,U73=$FT$2),"35%",IF(AND(T73=$FS$4,U73=$FT$3),"25%",""))))))</f>
        <v>40%</v>
      </c>
      <c r="W73" s="178" t="s">
        <v>154</v>
      </c>
      <c r="X73" s="178" t="s">
        <v>155</v>
      </c>
      <c r="Y73" s="178" t="s">
        <v>156</v>
      </c>
      <c r="Z73" s="131">
        <f>IFERROR(IF(AND(S72="Probabilidad",S73="Probabilidad"),(Z72-(+Z72*V73)),IF(S73="Probabilidad",(L72-(+L72*V73)),IF(S73="Impacto",Z72,""))),"")</f>
        <v>0.28799999999999998</v>
      </c>
      <c r="AA73" s="219"/>
      <c r="AB73" s="219"/>
      <c r="AC73" s="497"/>
      <c r="AD73" s="182" t="str">
        <f>IFERROR(IF(AND(S72="Impacto",V73="Impacto"),(AD72-(+AD72*V73)),IF(S73="Impacto",(O72-(+O72*V73)),IF(S73="Probabilidad",AD72,""))),"")</f>
        <v>60%</v>
      </c>
      <c r="AE73" s="219"/>
      <c r="AF73" s="219"/>
      <c r="AG73" s="497"/>
      <c r="AH73" s="497"/>
      <c r="AI73" s="497"/>
      <c r="AJ73" s="172"/>
      <c r="AK73" s="172"/>
      <c r="AL73" s="163"/>
      <c r="AM73" s="172"/>
      <c r="AN73" s="172"/>
      <c r="AO73" s="172"/>
      <c r="AP73" s="497"/>
      <c r="AQ73" s="537"/>
      <c r="FM73" s="89"/>
    </row>
    <row r="74" spans="1:173" s="78" customFormat="1" ht="13.5" customHeight="1" x14ac:dyDescent="0.25">
      <c r="A74" s="447"/>
      <c r="B74" s="127" t="s">
        <v>166</v>
      </c>
      <c r="C74" s="325"/>
      <c r="D74" s="441"/>
      <c r="E74" s="441"/>
      <c r="F74" s="441"/>
      <c r="G74" s="438"/>
      <c r="H74" s="200"/>
      <c r="I74" s="507"/>
      <c r="J74" s="573"/>
      <c r="K74" s="497"/>
      <c r="L74" s="497"/>
      <c r="M74" s="497"/>
      <c r="N74" s="497"/>
      <c r="O74" s="510"/>
      <c r="P74" s="497"/>
      <c r="Q74" s="572">
        <v>3</v>
      </c>
      <c r="R74" s="130" t="s">
        <v>799</v>
      </c>
      <c r="S74" s="178" t="s">
        <v>237</v>
      </c>
      <c r="T74" s="178" t="s">
        <v>152</v>
      </c>
      <c r="U74" s="178" t="s">
        <v>153</v>
      </c>
      <c r="V74" s="178" t="str">
        <f t="shared" si="17"/>
        <v>40%</v>
      </c>
      <c r="W74" s="178" t="s">
        <v>154</v>
      </c>
      <c r="X74" s="178" t="s">
        <v>155</v>
      </c>
      <c r="Y74" s="178" t="s">
        <v>156</v>
      </c>
      <c r="Z74" s="131">
        <f>IFERROR(IF(AND(S73="Probabilidad",S74="Probabilidad"),(Z73-(+Z73*V74)),IF(S74="Probabilidad",(L73-(+L73*V74)),IF(S74="Impacto",Z73,""))),"")</f>
        <v>0.17279999999999998</v>
      </c>
      <c r="AA74" s="219"/>
      <c r="AB74" s="219"/>
      <c r="AC74" s="497"/>
      <c r="AD74" s="182" t="str">
        <f t="shared" ref="AD74:AD77" si="18">IFERROR(IF(AND(S73="Impacto",V74="Impacto"),(AD73-(+AD73*V74)),IF(S74="Impacto",(O73-(+O73*V74)),IF(S74="Probabilidad",AD73,""))),"")</f>
        <v>60%</v>
      </c>
      <c r="AE74" s="219"/>
      <c r="AF74" s="219"/>
      <c r="AG74" s="497"/>
      <c r="AH74" s="497"/>
      <c r="AI74" s="497"/>
      <c r="AJ74" s="172"/>
      <c r="AK74" s="172"/>
      <c r="AL74" s="163"/>
      <c r="AM74" s="172"/>
      <c r="AN74" s="172"/>
      <c r="AO74" s="172"/>
      <c r="AP74" s="497"/>
      <c r="AQ74" s="537"/>
      <c r="FM74" s="89"/>
    </row>
    <row r="75" spans="1:173" s="78" customFormat="1" ht="13.5" customHeight="1" x14ac:dyDescent="0.25">
      <c r="A75" s="447"/>
      <c r="B75" s="127" t="s">
        <v>166</v>
      </c>
      <c r="C75" s="325"/>
      <c r="D75" s="441"/>
      <c r="E75" s="441"/>
      <c r="F75" s="441"/>
      <c r="G75" s="438"/>
      <c r="H75" s="200"/>
      <c r="I75" s="507"/>
      <c r="J75" s="573"/>
      <c r="K75" s="497"/>
      <c r="L75" s="497"/>
      <c r="M75" s="497"/>
      <c r="N75" s="497"/>
      <c r="O75" s="510"/>
      <c r="P75" s="497"/>
      <c r="Q75" s="572"/>
      <c r="R75" s="130"/>
      <c r="S75" s="178"/>
      <c r="T75" s="178"/>
      <c r="U75" s="178"/>
      <c r="V75" s="178" t="str">
        <f t="shared" si="17"/>
        <v/>
      </c>
      <c r="W75" s="178"/>
      <c r="X75" s="178"/>
      <c r="Y75" s="178"/>
      <c r="Z75" s="131" t="str">
        <f>IFERROR(IF(AND(S74="Probabilidad",S75="Probabilidad"),(Z74-(+Z74*V75)),IF(S75="Probabilidad",(L74-(+L74*V75)),IF(S75="Impacto",Z74,""))),"")</f>
        <v/>
      </c>
      <c r="AA75" s="219"/>
      <c r="AB75" s="219"/>
      <c r="AC75" s="497"/>
      <c r="AD75" s="182" t="str">
        <f t="shared" si="18"/>
        <v/>
      </c>
      <c r="AE75" s="219"/>
      <c r="AF75" s="219"/>
      <c r="AG75" s="497"/>
      <c r="AH75" s="497"/>
      <c r="AI75" s="497"/>
      <c r="AJ75" s="172"/>
      <c r="AK75" s="172"/>
      <c r="AL75" s="163"/>
      <c r="AM75" s="172"/>
      <c r="AN75" s="172"/>
      <c r="AO75" s="172"/>
      <c r="AP75" s="497"/>
      <c r="AQ75" s="537"/>
      <c r="FM75" s="89"/>
    </row>
    <row r="76" spans="1:173" s="78" customFormat="1" ht="13.5" customHeight="1" x14ac:dyDescent="0.25">
      <c r="A76" s="447"/>
      <c r="B76" s="127" t="s">
        <v>166</v>
      </c>
      <c r="C76" s="325"/>
      <c r="D76" s="441"/>
      <c r="E76" s="441"/>
      <c r="F76" s="441"/>
      <c r="G76" s="438"/>
      <c r="H76" s="200"/>
      <c r="I76" s="507"/>
      <c r="J76" s="573"/>
      <c r="K76" s="497"/>
      <c r="L76" s="497"/>
      <c r="M76" s="497"/>
      <c r="N76" s="497"/>
      <c r="O76" s="510"/>
      <c r="P76" s="497"/>
      <c r="Q76" s="572"/>
      <c r="R76" s="133"/>
      <c r="S76" s="178"/>
      <c r="T76" s="178"/>
      <c r="U76" s="178"/>
      <c r="V76" s="178" t="str">
        <f t="shared" si="17"/>
        <v/>
      </c>
      <c r="W76" s="178"/>
      <c r="X76" s="178"/>
      <c r="Y76" s="178"/>
      <c r="Z76" s="131" t="str">
        <f>IFERROR(IF(AND(S75="Probabilidad",S76="Probabilidad"),(Z75-(+Z75*V76)),IF(S76="Probabilidad",(L75-(+L75*V76)),IF(S76="Impacto",Z75,""))),"")</f>
        <v/>
      </c>
      <c r="AA76" s="219"/>
      <c r="AB76" s="219"/>
      <c r="AC76" s="497"/>
      <c r="AD76" s="182" t="str">
        <f t="shared" si="18"/>
        <v/>
      </c>
      <c r="AE76" s="219"/>
      <c r="AF76" s="219"/>
      <c r="AG76" s="497"/>
      <c r="AH76" s="497"/>
      <c r="AI76" s="497"/>
      <c r="AJ76" s="172"/>
      <c r="AK76" s="172"/>
      <c r="AL76" s="163"/>
      <c r="AM76" s="172"/>
      <c r="AN76" s="172"/>
      <c r="AO76" s="172"/>
      <c r="AP76" s="497"/>
      <c r="AQ76" s="537"/>
      <c r="FM76" s="89"/>
    </row>
    <row r="77" spans="1:173" s="78" customFormat="1" ht="13.5" customHeight="1" x14ac:dyDescent="0.25">
      <c r="A77" s="575"/>
      <c r="B77" s="127" t="s">
        <v>166</v>
      </c>
      <c r="C77" s="576"/>
      <c r="D77" s="577"/>
      <c r="E77" s="577"/>
      <c r="F77" s="577"/>
      <c r="G77" s="578"/>
      <c r="H77" s="579"/>
      <c r="I77" s="580"/>
      <c r="J77" s="581"/>
      <c r="K77" s="582"/>
      <c r="L77" s="582"/>
      <c r="M77" s="582"/>
      <c r="N77" s="582"/>
      <c r="O77" s="583"/>
      <c r="P77" s="582"/>
      <c r="Q77" s="572"/>
      <c r="R77" s="133"/>
      <c r="S77" s="178"/>
      <c r="T77" s="178"/>
      <c r="U77" s="178"/>
      <c r="V77" s="178" t="str">
        <f t="shared" si="17"/>
        <v/>
      </c>
      <c r="W77" s="178"/>
      <c r="X77" s="178"/>
      <c r="Y77" s="178"/>
      <c r="Z77" s="131" t="str">
        <f>IFERROR(IF(AND(S76="Probabilidad",S77="Probabilidad"),(Z76-(+Z76*V77)),IF(S77="Probabilidad",(L76-(+L76*V77)),IF(S77="Impacto",Z76,""))),"")</f>
        <v/>
      </c>
      <c r="AA77" s="584"/>
      <c r="AB77" s="584"/>
      <c r="AC77" s="582"/>
      <c r="AD77" s="182" t="str">
        <f t="shared" si="18"/>
        <v/>
      </c>
      <c r="AE77" s="584"/>
      <c r="AF77" s="584"/>
      <c r="AG77" s="582"/>
      <c r="AH77" s="582"/>
      <c r="AI77" s="582"/>
      <c r="AJ77" s="172"/>
      <c r="AK77" s="172"/>
      <c r="AL77" s="163"/>
      <c r="AM77" s="172"/>
      <c r="AN77" s="172"/>
      <c r="AO77" s="172"/>
      <c r="AP77" s="498"/>
      <c r="AQ77" s="538"/>
      <c r="FM77" s="89"/>
      <c r="FQ77" s="79"/>
    </row>
    <row r="78" spans="1:173" s="78" customFormat="1" ht="13.5" customHeight="1" x14ac:dyDescent="0.25">
      <c r="A78" s="585">
        <v>15</v>
      </c>
      <c r="B78" s="586" t="s">
        <v>308</v>
      </c>
      <c r="C78" s="585" t="s">
        <v>248</v>
      </c>
      <c r="D78" s="585" t="s">
        <v>805</v>
      </c>
      <c r="E78" s="585" t="s">
        <v>806</v>
      </c>
      <c r="F78" s="585" t="s">
        <v>804</v>
      </c>
      <c r="G78" s="585" t="s">
        <v>149</v>
      </c>
      <c r="H78" s="585" t="s">
        <v>150</v>
      </c>
      <c r="I78" s="587" t="s">
        <v>83</v>
      </c>
      <c r="J78" s="587">
        <v>10</v>
      </c>
      <c r="K78" s="587" t="str">
        <f>IF(AND(J78&lt;=2),"Muy Baja",IF(AND(J78&gt;=3,J78&lt;=23),"Baja",IF(AND(J78&gt;=24,J78&lt;=499),"Media",IF(AND(J78&gt;=500,J78&lt;=4999),"Alta",IF(AND(J78&gt;=5000),"Muy Alta",FALSE)))))</f>
        <v>Baja</v>
      </c>
      <c r="L78" s="587" t="str">
        <f>IF(AND(J78&lt;=2),"20%",IF(AND(J78&gt;=3,J78&lt;=23),"40%",IF(AND(J78&gt;=24,J78&lt;=499),"60%",IF(AND(J78&gt;=500,J78&lt;=4999),"80%",IF(AND(J78&gt;=5000),"100%",FALSE)))))</f>
        <v>40%</v>
      </c>
      <c r="M78" s="587" t="s">
        <v>162</v>
      </c>
      <c r="N78" s="587" t="str">
        <f>IF(AND(M78=$FQ$4),"Leve",IF(AND(M78=$FQ$5),"Menor",IF(AND(M78=$FQ$6),"Moderado",IF(AND(M78=$FQ$7),"mayor",IF(AND(M78=$FQ$8),"Catastrófico",IF(AND(M78=$FQ$10),"Leve",IF(AND(M78=$FQ$11),"Menor",IF(AND(M78=$FQ$12),"Moderado",IF(AND(M78=$FQ$13),"Mayor",IF(AND(M78=$FQ$14),"Catastrófico",FALSE))))))))))</f>
        <v>Moderado</v>
      </c>
      <c r="O78" s="588" t="str">
        <f>IF(AND(N78="Leve"),"20%",IF(AND(N78="Menor"),"40%",IF(AND(N78="Moderado"),"60%",IF(AND(N78="Mayor"),"80%",IF(AND(N78="Catastrófico"),"100%","")))))</f>
        <v>60%</v>
      </c>
      <c r="P78" s="587" t="str">
        <f>IF(AND(L78&lt;="40%",O78="20%"),"Bajo",IF(AND(L78="60%",O78="20%"),"Moderado",IF(AND(L78="80%",O78="20%"),"Moderado",IF(AND(L78="100%",O78="20%"),"Alto",IF(AND(L78="20%",O78="40%"),"Bajo",IF(AND(L78="40%",O78="40%"),"Moderado",IF(AND(L78="60%",O78="40%"),"Moderado",IF(AND(L78="80%",O78="40%"),"Moderado",IF(AND(L78="100%",O78="40%"),"Alto",IF(AND(L78="20%",O78="60%"),"Moderado",IF(AND(L78="40%",O78="60%"),"Moderado",IF(AND(L78="60%",O78="60%"),"Moderado",IF(AND(L78="80%",O78="60%"),"Alto",IF(AND(L78="100%",O78="60%"),"Alto",IF(AND(L78="20%",O78="80%"),"Alto",IF(AND(L78="40%",O78="80%"),"Alto",IF(AND(L78="60%",O78="80%"),"Alto",IF(AND(L78="80%",O78="80%"),"Alto",IF(AND(L78="100%",O78="80%"),"Alto",IF(AND(L78="20%",O78="100%"),"Extremo",IF(AND(L78="40%",O78="100%"),"Extremo",IF(AND(L78="60%",O78="100%"),"Extremo",IF(AND(L78="80%",O78="100%"),"Moderado",IF(AND(L78="100%",O78="100%"),"Extremo",""""))))))))))))))))))))))))</f>
        <v>Moderado</v>
      </c>
      <c r="Q78" s="589">
        <v>1</v>
      </c>
      <c r="R78" s="635" t="s">
        <v>309</v>
      </c>
      <c r="S78" s="636" t="s">
        <v>237</v>
      </c>
      <c r="T78" s="636" t="s">
        <v>152</v>
      </c>
      <c r="U78" s="636" t="s">
        <v>153</v>
      </c>
      <c r="V78" s="636" t="str">
        <f>IF(AND(T78=$FS$2,U78=$FT$2),"50%",IF(AND(T78=$FS$2,U78=$FT$3),"40%",IF(AND(T78=$FS$3,U78=$FT$2),"40%",IF(AND(T78=$FS$3,U78=$FT$3),"30%",IF(AND(T78=$FS$4,U78=$FT$2),"35%",IF(AND(T78=$FS$4,U78=$FT$3),"25%",""))))))</f>
        <v>40%</v>
      </c>
      <c r="W78" s="636" t="s">
        <v>154</v>
      </c>
      <c r="X78" s="636" t="s">
        <v>155</v>
      </c>
      <c r="Y78" s="636" t="s">
        <v>156</v>
      </c>
      <c r="Z78" s="637">
        <f>IFERROR(IF(S78="Probabilidad",(L78-(+L78*V78)),IF(S78="Impacto",L78,"")),"")</f>
        <v>0.24</v>
      </c>
      <c r="AA78" s="591">
        <f>LOOKUP(2,1/(Z78:Z83&lt;&gt;""),Z78:Z83)</f>
        <v>0.14399999999999999</v>
      </c>
      <c r="AB78" s="590"/>
      <c r="AC78" s="587" t="str">
        <f>IF(AND(AA78&lt;=20%),"Muy Baja",IF(AND(AA78&gt;=21%,AA78&lt;=40%),"Baja",IF(AND(AA78&gt;=41%,AA78&lt;=60%),"Media",IF(AND(AA78&gt;=61%,AA78&lt;=80%),"Alta",IF(AND(AA78&gt;=81%,AA78&gt;=100%),"Muy Alta",FALSE)))))</f>
        <v>Muy Baja</v>
      </c>
      <c r="AD78" s="590" t="str">
        <f>IFERROR(IF(S78="Impacto",(O78-(+O78*V78)),IF(S78="Probabilidad",O78,"")),"")</f>
        <v>60%</v>
      </c>
      <c r="AE78" s="591" t="str">
        <f>LOOKUP(2,1/(AD78:AD83&lt;&gt;""),AD78:AD83)</f>
        <v>60%</v>
      </c>
      <c r="AF78" s="590"/>
      <c r="AG78" s="587" t="str">
        <f>IF(AND(AE78&lt;=20%),"Leve",IF(AND(AE78&gt;=21%,AE78&lt;=40%),"Menor",IF(AND(AE78&gt;=41%,AE78&lt;="60%"),"Moderado",IF(AND(AE78&gt;=61%,AE78&lt;=80%),"Mayor",IF(AND(AE78&gt;=81%,AE78&gt;=100%),"Catastrófico",FALSE)))))</f>
        <v>Moderado</v>
      </c>
      <c r="AH78" s="587" t="str">
        <f>IF(OR(AND(AC78="Media",AG78="Leve"),AND(AC78="Alta",AG78="Leve"),AND(AC78="Alta",AG78="Menor"),AND(AC78="Media",AG78="Menor"),AND(AC78="Baja",AG78="Menor"),AND(AC78="Media",AG78="Moderado"),AND(AC78="Baja",AG78="Moderado"),AND(AC78="Muy Baja",AG78="Moderado")),"Moderado",IF(OR(AND(AC78="Baja",AG78="Leve"),AND(AC78="Muy Baja",AG78="Leve"),AND(AC78="Muy Baja",AG78="Menor")),"Bajo",IF(OR(AND(AC78="Muy Alta",AG78="Leve"),AND(AC78="Muy Alta",AG78="Menor"),AND(AC78="Muy Alta",AG78="Moderado"),AND(AC78="Alta",AG78="Moderado"),AND(AC78="Muy Alta",AG78="Mayor"),AND(AC78="Alta",AG78="Mayor"),AND(AC78="Media",AG78="Mayor"),AND(AC78="Baja",AG78="Mayor"),AND(AC78="Muy Baja",AG78="Mayor")),"Alto",IF(OR(AND(AC78="Alta",AG78="Catastrófico"),AND(AC78="Muy Alta",AG78="Catastrófico"),AND(AC78="Media",AG78="Catastrófico"),AND(AC78="Baja",AG78="Catastrófico"),AND(AC78="Muy Baja",AG78="Catastrófico")),"Extremo",IF(AG78="Catastrófico","Extremo")))))</f>
        <v>Moderado</v>
      </c>
      <c r="AI78" s="587" t="s">
        <v>77</v>
      </c>
      <c r="AJ78" s="172"/>
      <c r="AK78" s="172"/>
      <c r="AL78" s="163"/>
      <c r="AM78" s="172"/>
      <c r="AN78" s="172"/>
      <c r="AO78" s="172"/>
      <c r="AP78" s="496" t="s">
        <v>310</v>
      </c>
      <c r="AQ78" s="539" t="s">
        <v>113</v>
      </c>
      <c r="FM78" s="89"/>
      <c r="FP78" s="78" t="s">
        <v>255</v>
      </c>
      <c r="FQ78" s="80" t="s">
        <v>256</v>
      </c>
    </row>
    <row r="79" spans="1:173" s="78" customFormat="1" ht="13.5" customHeight="1" x14ac:dyDescent="0.2">
      <c r="A79" s="592"/>
      <c r="B79" s="586" t="s">
        <v>308</v>
      </c>
      <c r="C79" s="592"/>
      <c r="D79" s="592"/>
      <c r="E79" s="592"/>
      <c r="F79" s="592"/>
      <c r="G79" s="592"/>
      <c r="H79" s="592"/>
      <c r="I79" s="593"/>
      <c r="J79" s="593"/>
      <c r="K79" s="593"/>
      <c r="L79" s="593"/>
      <c r="M79" s="593"/>
      <c r="N79" s="593"/>
      <c r="O79" s="594"/>
      <c r="P79" s="593"/>
      <c r="Q79" s="589">
        <v>2</v>
      </c>
      <c r="R79" s="635" t="s">
        <v>311</v>
      </c>
      <c r="S79" s="636" t="s">
        <v>237</v>
      </c>
      <c r="T79" s="636" t="s">
        <v>152</v>
      </c>
      <c r="U79" s="636" t="s">
        <v>153</v>
      </c>
      <c r="V79" s="636" t="str">
        <f t="shared" ref="V79:V83" si="19">IF(AND(T79=$FS$2,U79=$FT$2),"50%",IF(AND(T79=$FS$2,U79=$FT$3),"40%",IF(AND(T79=$FS$3,U79=$FT$2),"40%",IF(AND(T79=$FS$3,U79=$FT$3),"30%",IF(AND(T79=$FS$4,U79=$FT$2),"35%",IF(AND(T79=$FS$4,U79=$FT$3),"25%",""))))))</f>
        <v>40%</v>
      </c>
      <c r="W79" s="636" t="s">
        <v>154</v>
      </c>
      <c r="X79" s="636" t="s">
        <v>155</v>
      </c>
      <c r="Y79" s="636" t="s">
        <v>156</v>
      </c>
      <c r="Z79" s="637">
        <f>IFERROR(IF(AND(S78="Probabilidad",S79="Probabilidad"),(Z78-(+Z78*V79)),IF(S79="Probabilidad",(L78-(+L78*V79)),IF(S79="Impacto",Z78,""))),"")</f>
        <v>0.14399999999999999</v>
      </c>
      <c r="AA79" s="595"/>
      <c r="AB79" s="590"/>
      <c r="AC79" s="593"/>
      <c r="AD79" s="590" t="str">
        <f>IFERROR(IF(AND(S78="Impacto",V79="Impacto"),(AD78-(+AD78*V79)),IF(S79="Impacto",(O78-(+O78*V79)),IF(S79="Probabilidad",AD78,""))),"")</f>
        <v>60%</v>
      </c>
      <c r="AE79" s="595"/>
      <c r="AF79" s="590"/>
      <c r="AG79" s="593"/>
      <c r="AH79" s="593"/>
      <c r="AI79" s="593"/>
      <c r="AJ79" s="172"/>
      <c r="AK79" s="172"/>
      <c r="AL79" s="163"/>
      <c r="AM79" s="172"/>
      <c r="AN79" s="172"/>
      <c r="AO79" s="172"/>
      <c r="AP79" s="497"/>
      <c r="AQ79" s="537"/>
      <c r="FM79" s="89"/>
      <c r="FP79" s="78" t="s">
        <v>196</v>
      </c>
      <c r="FQ79" s="87" t="s">
        <v>158</v>
      </c>
    </row>
    <row r="80" spans="1:173" s="78" customFormat="1" ht="13.5" customHeight="1" x14ac:dyDescent="0.2">
      <c r="A80" s="592"/>
      <c r="B80" s="586" t="s">
        <v>308</v>
      </c>
      <c r="C80" s="592"/>
      <c r="D80" s="592"/>
      <c r="E80" s="592"/>
      <c r="F80" s="592"/>
      <c r="G80" s="592"/>
      <c r="H80" s="592"/>
      <c r="I80" s="593"/>
      <c r="J80" s="593"/>
      <c r="K80" s="593"/>
      <c r="L80" s="593"/>
      <c r="M80" s="593"/>
      <c r="N80" s="593"/>
      <c r="O80" s="594"/>
      <c r="P80" s="593"/>
      <c r="Q80" s="589"/>
      <c r="R80" s="636"/>
      <c r="S80" s="636"/>
      <c r="T80" s="636"/>
      <c r="U80" s="636"/>
      <c r="V80" s="636" t="str">
        <f t="shared" si="19"/>
        <v/>
      </c>
      <c r="W80" s="636"/>
      <c r="X80" s="636"/>
      <c r="Y80" s="636"/>
      <c r="Z80" s="637" t="str">
        <f>IFERROR(IF(AND(S79="Probabilidad",S80="Probabilidad"),(Z79-(+Z79*V80)),IF(S80="Probabilidad",(L79-(+L79*V80)),IF(S80="Impacto",Z79,""))),"")</f>
        <v/>
      </c>
      <c r="AA80" s="595"/>
      <c r="AB80" s="590"/>
      <c r="AC80" s="593"/>
      <c r="AD80" s="590" t="str">
        <f t="shared" ref="AD80:AD83" si="20">IFERROR(IF(AND(S79="Impacto",V80="Impacto"),(AD79-(+AD79*V80)),IF(S80="Impacto",(O79-(+O79*V80)),IF(S80="Probabilidad",AD79,""))),"")</f>
        <v/>
      </c>
      <c r="AE80" s="595"/>
      <c r="AF80" s="590"/>
      <c r="AG80" s="593"/>
      <c r="AH80" s="593"/>
      <c r="AI80" s="593"/>
      <c r="AJ80" s="172"/>
      <c r="AK80" s="172"/>
      <c r="AL80" s="163"/>
      <c r="AM80" s="172"/>
      <c r="AN80" s="172"/>
      <c r="AO80" s="172"/>
      <c r="AP80" s="497"/>
      <c r="AQ80" s="537"/>
      <c r="FM80" s="89"/>
      <c r="FQ80" s="87" t="s">
        <v>160</v>
      </c>
    </row>
    <row r="81" spans="1:173" s="78" customFormat="1" ht="13.5" customHeight="1" x14ac:dyDescent="0.2">
      <c r="A81" s="592"/>
      <c r="B81" s="586" t="s">
        <v>308</v>
      </c>
      <c r="C81" s="592"/>
      <c r="D81" s="592"/>
      <c r="E81" s="592"/>
      <c r="F81" s="592"/>
      <c r="G81" s="592"/>
      <c r="H81" s="592"/>
      <c r="I81" s="593"/>
      <c r="J81" s="593"/>
      <c r="K81" s="593"/>
      <c r="L81" s="593"/>
      <c r="M81" s="593"/>
      <c r="N81" s="593"/>
      <c r="O81" s="594"/>
      <c r="P81" s="593"/>
      <c r="Q81" s="589"/>
      <c r="R81" s="636"/>
      <c r="S81" s="636"/>
      <c r="T81" s="636"/>
      <c r="U81" s="636"/>
      <c r="V81" s="636" t="str">
        <f t="shared" si="19"/>
        <v/>
      </c>
      <c r="W81" s="636"/>
      <c r="X81" s="636"/>
      <c r="Y81" s="636"/>
      <c r="Z81" s="637" t="str">
        <f>IFERROR(IF(AND(S80="Probabilidad",S81="Probabilidad"),(Z80-(+Z80*V81)),IF(S81="Probabilidad",(L80-(+L80*V81)),IF(S81="Impacto",Z80,""))),"")</f>
        <v/>
      </c>
      <c r="AA81" s="595"/>
      <c r="AB81" s="590"/>
      <c r="AC81" s="593"/>
      <c r="AD81" s="590" t="str">
        <f t="shared" si="20"/>
        <v/>
      </c>
      <c r="AE81" s="595"/>
      <c r="AF81" s="590"/>
      <c r="AG81" s="593"/>
      <c r="AH81" s="593"/>
      <c r="AI81" s="593"/>
      <c r="AJ81" s="172"/>
      <c r="AK81" s="172"/>
      <c r="AL81" s="163"/>
      <c r="AM81" s="172"/>
      <c r="AN81" s="172"/>
      <c r="AO81" s="172"/>
      <c r="AP81" s="497"/>
      <c r="AQ81" s="537"/>
      <c r="FM81" s="89"/>
      <c r="FQ81" s="87" t="s">
        <v>162</v>
      </c>
    </row>
    <row r="82" spans="1:173" s="78" customFormat="1" ht="13.5" customHeight="1" x14ac:dyDescent="0.2">
      <c r="A82" s="592"/>
      <c r="B82" s="586" t="s">
        <v>308</v>
      </c>
      <c r="C82" s="592"/>
      <c r="D82" s="592"/>
      <c r="E82" s="592"/>
      <c r="F82" s="592"/>
      <c r="G82" s="592"/>
      <c r="H82" s="592"/>
      <c r="I82" s="593"/>
      <c r="J82" s="593"/>
      <c r="K82" s="593"/>
      <c r="L82" s="593"/>
      <c r="M82" s="593"/>
      <c r="N82" s="593"/>
      <c r="O82" s="594"/>
      <c r="P82" s="593"/>
      <c r="Q82" s="589"/>
      <c r="R82" s="636"/>
      <c r="S82" s="636"/>
      <c r="T82" s="636"/>
      <c r="U82" s="636"/>
      <c r="V82" s="636" t="str">
        <f t="shared" si="19"/>
        <v/>
      </c>
      <c r="W82" s="636"/>
      <c r="X82" s="636"/>
      <c r="Y82" s="636"/>
      <c r="Z82" s="637" t="str">
        <f>IFERROR(IF(AND(S81="Probabilidad",S82="Probabilidad"),(Z81-(+Z81*V82)),IF(S82="Probabilidad",(L81-(+L81*V82)),IF(S82="Impacto",Z81,""))),"")</f>
        <v/>
      </c>
      <c r="AA82" s="595"/>
      <c r="AB82" s="590"/>
      <c r="AC82" s="593"/>
      <c r="AD82" s="590" t="str">
        <f t="shared" si="20"/>
        <v/>
      </c>
      <c r="AE82" s="595"/>
      <c r="AF82" s="590"/>
      <c r="AG82" s="593"/>
      <c r="AH82" s="593"/>
      <c r="AI82" s="593"/>
      <c r="AJ82" s="172"/>
      <c r="AK82" s="172"/>
      <c r="AL82" s="163"/>
      <c r="AM82" s="172"/>
      <c r="AN82" s="172"/>
      <c r="AO82" s="172"/>
      <c r="AP82" s="497"/>
      <c r="AQ82" s="537"/>
      <c r="FM82" s="89"/>
      <c r="FQ82" s="87" t="s">
        <v>257</v>
      </c>
    </row>
    <row r="83" spans="1:173" s="78" customFormat="1" ht="13.5" customHeight="1" x14ac:dyDescent="0.2">
      <c r="A83" s="596"/>
      <c r="B83" s="586" t="s">
        <v>308</v>
      </c>
      <c r="C83" s="596"/>
      <c r="D83" s="596"/>
      <c r="E83" s="596"/>
      <c r="F83" s="596"/>
      <c r="G83" s="596"/>
      <c r="H83" s="596"/>
      <c r="I83" s="597"/>
      <c r="J83" s="597"/>
      <c r="K83" s="597"/>
      <c r="L83" s="597"/>
      <c r="M83" s="597"/>
      <c r="N83" s="597"/>
      <c r="O83" s="598"/>
      <c r="P83" s="597"/>
      <c r="Q83" s="589"/>
      <c r="R83" s="636"/>
      <c r="S83" s="636"/>
      <c r="T83" s="636"/>
      <c r="U83" s="636"/>
      <c r="V83" s="636" t="str">
        <f t="shared" si="19"/>
        <v/>
      </c>
      <c r="W83" s="636"/>
      <c r="X83" s="636"/>
      <c r="Y83" s="636"/>
      <c r="Z83" s="637" t="str">
        <f>IFERROR(IF(AND(S82="Probabilidad",S83="Probabilidad"),(Z82-(+Z82*V83)),IF(S83="Probabilidad",(L82-(+L82*V83)),IF(S83="Impacto",Z82,""))),"")</f>
        <v/>
      </c>
      <c r="AA83" s="599"/>
      <c r="AB83" s="590"/>
      <c r="AC83" s="597"/>
      <c r="AD83" s="590" t="str">
        <f t="shared" si="20"/>
        <v/>
      </c>
      <c r="AE83" s="599"/>
      <c r="AF83" s="590"/>
      <c r="AG83" s="597"/>
      <c r="AH83" s="597"/>
      <c r="AI83" s="597"/>
      <c r="AJ83" s="172"/>
      <c r="AK83" s="172"/>
      <c r="AL83" s="163"/>
      <c r="AM83" s="172"/>
      <c r="AN83" s="172"/>
      <c r="AO83" s="172"/>
      <c r="AP83" s="498"/>
      <c r="AQ83" s="538"/>
      <c r="FM83" s="89"/>
      <c r="FQ83" s="87" t="s">
        <v>170</v>
      </c>
    </row>
    <row r="84" spans="1:173" s="78" customFormat="1" ht="13.5" customHeight="1" x14ac:dyDescent="0.25">
      <c r="A84" s="542">
        <v>16</v>
      </c>
      <c r="B84" s="110" t="s">
        <v>308</v>
      </c>
      <c r="C84" s="542" t="s">
        <v>233</v>
      </c>
      <c r="D84" s="542" t="s">
        <v>312</v>
      </c>
      <c r="E84" s="542" t="s">
        <v>313</v>
      </c>
      <c r="F84" s="542" t="s">
        <v>314</v>
      </c>
      <c r="G84" s="542" t="s">
        <v>149</v>
      </c>
      <c r="H84" s="542" t="s">
        <v>267</v>
      </c>
      <c r="I84" s="542" t="s">
        <v>83</v>
      </c>
      <c r="J84" s="542">
        <v>12</v>
      </c>
      <c r="K84" s="535" t="str">
        <f>IF(AND(J84&lt;=2),"Muy Baja",IF(AND(J84&gt;=3,J84&lt;=23),"Baja",IF(AND(J84&gt;=24,J84&lt;=499),"Media",IF(AND(J84&gt;=500,J84&lt;=4999),"Alta",IF(AND(J84&gt;=5000),"Muy Alta",FALSE)))))</f>
        <v>Baja</v>
      </c>
      <c r="L84" s="535" t="str">
        <f>IF(AND(J84&lt;=2),"20%",IF(AND(J84&gt;=3,J84&lt;=23),"40%",IF(AND(J84&gt;=24,J84&lt;=499),"60%",IF(AND(J84&gt;=500,J84&lt;=4999),"80%",IF(AND(J84&gt;=5000),"100%",FALSE)))))</f>
        <v>40%</v>
      </c>
      <c r="M84" s="535" t="s">
        <v>186</v>
      </c>
      <c r="N84" s="535" t="str">
        <f>IF(AND(M84=$FQ$4),"Leve",IF(AND(M84=$FQ$5),"Menor",IF(AND(M84=$FQ$6),"Moderado",IF(AND(M84=$FQ$7),"mayor",IF(AND(M84=$FQ$8),"Catastrófico",IF(AND(M84=$FQ$10),"Leve",IF(AND(M84=$FQ$11),"Menor",IF(AND(M84=$FQ$12),"Moderado",IF(AND(M84=$FQ$13),"Mayor",IF(AND(M84=$FQ$14),"Catastrófico",FALSE))))))))))</f>
        <v>Moderado</v>
      </c>
      <c r="O84" s="536" t="str">
        <f>IF(AND(N84="Leve"),"20%",IF(AND(N84="Menor"),"40%",IF(AND(N84="Moderado"),"60%",IF(AND(N84="Mayor"),"80%",IF(AND(N84="Catastrófico"),"100%","")))))</f>
        <v>60%</v>
      </c>
      <c r="P84" s="535" t="str">
        <f>IF(AND(L84&lt;="40%",O84="20%"),"Bajo",IF(AND(L84="60%",O84="20%"),"Moderado",IF(AND(L84="80%",O84="20%"),"Moderado",IF(AND(L84="100%",O84="20%"),"Alto",IF(AND(L84="20%",O84="40%"),"Bajo",IF(AND(L84="40%",O84="40%"),"Moderado",IF(AND(L84="60%",O84="40%"),"Moderado",IF(AND(L84="80%",O84="40%"),"Moderado",IF(AND(L84="100%",O84="40%"),"Alto",IF(AND(L84="20%",O84="60%"),"Moderado",IF(AND(L84="40%",O84="60%"),"Moderado",IF(AND(L84="60%",O84="60%"),"Moderado",IF(AND(L84="80%",O84="60%"),"Alto",IF(AND(L84="100%",O84="60%"),"Alto",IF(AND(L84="20%",O84="80%"),"Alto",IF(AND(L84="40%",O84="80%"),"Alto",IF(AND(L84="60%",O84="80%"),"Alto",IF(AND(L84="80%",O84="80%"),"Alto",IF(AND(L84="100%",O84="80%"),"Alto",IF(AND(L84="20%",O84="100%"),"Extremo",IF(AND(L84="40%",O84="100%"),"Extremo",IF(AND(L84="60%",O84="100%"),"Extremo",IF(AND(L84="80%",O84="100%"),"Moderado",IF(AND(L84="100%",O84="100%"),"Extremo",""""))))))))))))))))))))))))</f>
        <v>Moderado</v>
      </c>
      <c r="Q84" s="110">
        <v>1</v>
      </c>
      <c r="R84" s="134" t="s">
        <v>315</v>
      </c>
      <c r="S84" s="176" t="s">
        <v>237</v>
      </c>
      <c r="T84" s="176" t="s">
        <v>152</v>
      </c>
      <c r="U84" s="176" t="s">
        <v>153</v>
      </c>
      <c r="V84" s="176" t="str">
        <f t="shared" ref="V84:V90" si="21">IF(AND(T84=$FS$2,U84=$FT$2),"50%",IF(AND(T84=$FS$2,U84=$FT$3),"40%",IF(AND(T84=$FS$3,U84=$FT$2),"40%",IF(AND(T84=$FS$3,U84=$FT$3),"30%",IF(AND(T84=$FS$4,U84=$FT$2),"35%",IF(AND(T84=$FS$4,U84=$FT$3),"25%",""))))))</f>
        <v>40%</v>
      </c>
      <c r="W84" s="176" t="s">
        <v>154</v>
      </c>
      <c r="X84" s="176" t="s">
        <v>155</v>
      </c>
      <c r="Y84" s="176" t="s">
        <v>156</v>
      </c>
      <c r="Z84" s="129">
        <f>IFERROR(IF(S84="Probabilidad",(L84-(+L84*V84)),IF(S84="Impacto",L84,"")),"")</f>
        <v>0.24</v>
      </c>
      <c r="AA84" s="534">
        <f>LOOKUP(2,1/(Z84:Z89&lt;&gt;""),Z84:Z89)</f>
        <v>0.14399999999999999</v>
      </c>
      <c r="AB84" s="177"/>
      <c r="AC84" s="535" t="str">
        <f>IF(AND(AA84&lt;=20%),"Muy Baja",IF(AND(AA84&gt;=21%,AA84&lt;=40%),"Baja",IF(AND(AA84&gt;=41%,AA84&lt;=60%),"Media",IF(AND(AA84&gt;=61%,AA84&lt;=80%),"Alta",IF(AND(AA84&gt;=81%,AA84&gt;=100%),"Muy Alta",FALSE)))))</f>
        <v>Muy Baja</v>
      </c>
      <c r="AD84" s="177" t="str">
        <f>IFERROR(IF(S84="Impacto",(O84-(+O84*V84)),IF(S84="Probabilidad",O84,"")),"")</f>
        <v>60%</v>
      </c>
      <c r="AE84" s="534" t="str">
        <f>LOOKUP(2,1/(AD84:AD89&lt;&gt;""),AD84:AD89)</f>
        <v>60%</v>
      </c>
      <c r="AF84" s="177"/>
      <c r="AG84" s="535" t="str">
        <f>IF(AND(AE84&lt;=20%),"Leve",IF(AND(AE84&gt;=21%,AE84&lt;=40%),"Menor",IF(AND(AE84&gt;=41%,AE84&lt;="60%"),"Moderado",IF(AND(AE84&gt;=61%,AE84&lt;=80%),"Mayor",IF(AND(AE84&gt;=81%,AE84&gt;=100%),"Catastrófico",FALSE)))))</f>
        <v>Moderado</v>
      </c>
      <c r="AH84" s="535" t="str">
        <f>IF(OR(AND(AC84="Media",AG84="Leve"),AND(AC84="Alta",AG84="Leve"),AND(AC84="Alta",AG84="Menor"),AND(AC84="Media",AG84="Menor"),AND(AC84="Baja",AG84="Menor"),AND(AC84="Media",AG84="Moderado"),AND(AC84="Baja",AG84="Moderado"),AND(AC84="Muy Baja",AG84="Moderado")),"Moderado",IF(OR(AND(AC84="Baja",AG84="Leve"),AND(AC84="Muy Baja",AG84="Leve"),AND(AC84="Muy Baja",AG84="Menor")),"Bajo",IF(OR(AND(AC84="Muy Alta",AG84="Leve"),AND(AC84="Muy Alta",AG84="Menor"),AND(AC84="Muy Alta",AG84="Moderado"),AND(AC84="Alta",AG84="Moderado"),AND(AC84="Muy Alta",AG84="Mayor"),AND(AC84="Alta",AG84="Mayor"),AND(AC84="Media",AG84="Mayor"),AND(AC84="Baja",AG84="Mayor"),AND(AC84="Muy Baja",AG84="Mayor")),"Alto",IF(OR(AND(AC84="Alta",AG84="Catastrófico"),AND(AC84="Muy Alta",AG84="Catastrófico"),AND(AC84="Media",AG84="Catastrófico"),AND(AC84="Baja",AG84="Catastrófico"),AND(AC84="Muy Baja",AG84="Catastrófico")),"Extremo",IF(AG84="Catastrófico","Extremo")))))</f>
        <v>Moderado</v>
      </c>
      <c r="AI84" s="542" t="s">
        <v>77</v>
      </c>
      <c r="AJ84" s="176"/>
      <c r="AK84" s="176"/>
      <c r="AL84" s="112"/>
      <c r="AM84" s="176"/>
      <c r="AN84" s="176"/>
      <c r="AO84" s="176"/>
      <c r="AP84" s="496" t="s">
        <v>316</v>
      </c>
      <c r="AQ84" s="539" t="s">
        <v>113</v>
      </c>
      <c r="FM84" s="89"/>
      <c r="FQ84" s="80"/>
    </row>
    <row r="85" spans="1:173" s="78" customFormat="1" ht="13.5" customHeight="1" x14ac:dyDescent="0.25">
      <c r="A85" s="206"/>
      <c r="B85" s="110" t="s">
        <v>308</v>
      </c>
      <c r="C85" s="206"/>
      <c r="D85" s="206"/>
      <c r="E85" s="206"/>
      <c r="F85" s="206"/>
      <c r="G85" s="206"/>
      <c r="H85" s="206"/>
      <c r="I85" s="206"/>
      <c r="J85" s="206"/>
      <c r="K85" s="475"/>
      <c r="L85" s="475"/>
      <c r="M85" s="475"/>
      <c r="N85" s="475"/>
      <c r="O85" s="481"/>
      <c r="P85" s="475"/>
      <c r="Q85" s="110">
        <v>2</v>
      </c>
      <c r="R85" s="134" t="s">
        <v>317</v>
      </c>
      <c r="S85" s="176" t="s">
        <v>237</v>
      </c>
      <c r="T85" s="176" t="s">
        <v>152</v>
      </c>
      <c r="U85" s="176" t="s">
        <v>153</v>
      </c>
      <c r="V85" s="176" t="str">
        <f t="shared" si="21"/>
        <v>40%</v>
      </c>
      <c r="W85" s="176" t="s">
        <v>154</v>
      </c>
      <c r="X85" s="176" t="s">
        <v>155</v>
      </c>
      <c r="Y85" s="176" t="s">
        <v>156</v>
      </c>
      <c r="Z85" s="129">
        <f>IFERROR(IF(AND(S84="Probabilidad",S85="Probabilidad"),(Z84-(+Z84*V85)),IF(S85="Probabilidad",(L84-(+L84*V85)),IF(S85="Impacto",Z84,""))),"")</f>
        <v>0.14399999999999999</v>
      </c>
      <c r="AA85" s="478"/>
      <c r="AB85" s="177"/>
      <c r="AC85" s="475"/>
      <c r="AD85" s="177" t="str">
        <f>IFERROR(IF(AND(S84="Impacto",V85="Impacto"),(AD84-(+AD84*V85)),IF(S85="Impacto",(O84-(+O84*V85)),IF(S85="Probabilidad",AD84,""))),"")</f>
        <v>60%</v>
      </c>
      <c r="AE85" s="478"/>
      <c r="AF85" s="177"/>
      <c r="AG85" s="475"/>
      <c r="AH85" s="475"/>
      <c r="AI85" s="206"/>
      <c r="AJ85" s="176"/>
      <c r="AK85" s="176"/>
      <c r="AL85" s="112"/>
      <c r="AM85" s="176"/>
      <c r="AN85" s="176"/>
      <c r="AO85" s="176"/>
      <c r="AP85" s="497"/>
      <c r="AQ85" s="537"/>
      <c r="FM85" s="89"/>
    </row>
    <row r="86" spans="1:173" s="78" customFormat="1" ht="13.5" customHeight="1" x14ac:dyDescent="0.25">
      <c r="A86" s="206"/>
      <c r="B86" s="110" t="s">
        <v>308</v>
      </c>
      <c r="C86" s="206"/>
      <c r="D86" s="206"/>
      <c r="E86" s="206"/>
      <c r="F86" s="206"/>
      <c r="G86" s="206"/>
      <c r="H86" s="206"/>
      <c r="I86" s="206"/>
      <c r="J86" s="206"/>
      <c r="K86" s="475"/>
      <c r="L86" s="475"/>
      <c r="M86" s="475"/>
      <c r="N86" s="475"/>
      <c r="O86" s="481"/>
      <c r="P86" s="475"/>
      <c r="Q86" s="110"/>
      <c r="R86" s="176"/>
      <c r="S86" s="176"/>
      <c r="T86" s="176"/>
      <c r="U86" s="176"/>
      <c r="V86" s="176" t="str">
        <f t="shared" si="21"/>
        <v/>
      </c>
      <c r="W86" s="176"/>
      <c r="X86" s="176"/>
      <c r="Y86" s="176"/>
      <c r="Z86" s="129" t="str">
        <f>IFERROR(IF(AND(S85="Probabilidad",S86="Probabilidad"),(Z85-(+Z85*V86)),IF(S86="Probabilidad",(L85-(+L85*V86)),IF(S86="Impacto",Z85,""))),"")</f>
        <v/>
      </c>
      <c r="AA86" s="478"/>
      <c r="AB86" s="177"/>
      <c r="AC86" s="475"/>
      <c r="AD86" s="177" t="str">
        <f>IFERROR(IF(AND(S85="Impacto",V86="Impacto"),(AD85-(+AD85*V86)),IF(S86="Impacto",(O85-(+O85*V86)),IF(S86="Probabilidad",AD85,""))),"")</f>
        <v/>
      </c>
      <c r="AE86" s="478"/>
      <c r="AF86" s="177"/>
      <c r="AG86" s="475"/>
      <c r="AH86" s="475"/>
      <c r="AI86" s="206"/>
      <c r="AJ86" s="176"/>
      <c r="AK86" s="176"/>
      <c r="AL86" s="112"/>
      <c r="AM86" s="176"/>
      <c r="AN86" s="176"/>
      <c r="AO86" s="176"/>
      <c r="AP86" s="497"/>
      <c r="AQ86" s="537"/>
      <c r="FM86" s="89"/>
    </row>
    <row r="87" spans="1:173" s="78" customFormat="1" ht="13.5" customHeight="1" x14ac:dyDescent="0.25">
      <c r="A87" s="206"/>
      <c r="B87" s="110" t="s">
        <v>308</v>
      </c>
      <c r="C87" s="206"/>
      <c r="D87" s="206"/>
      <c r="E87" s="206"/>
      <c r="F87" s="206"/>
      <c r="G87" s="206"/>
      <c r="H87" s="206"/>
      <c r="I87" s="206"/>
      <c r="J87" s="206"/>
      <c r="K87" s="475"/>
      <c r="L87" s="475"/>
      <c r="M87" s="475"/>
      <c r="N87" s="475"/>
      <c r="O87" s="481"/>
      <c r="P87" s="475"/>
      <c r="Q87" s="110"/>
      <c r="R87" s="176"/>
      <c r="S87" s="176"/>
      <c r="T87" s="176"/>
      <c r="U87" s="176"/>
      <c r="V87" s="176" t="str">
        <f t="shared" si="21"/>
        <v/>
      </c>
      <c r="W87" s="176"/>
      <c r="X87" s="176"/>
      <c r="Y87" s="176"/>
      <c r="Z87" s="129" t="str">
        <f>IFERROR(IF(AND(S86="Probabilidad",S87="Probabilidad"),(Z86-(+Z86*V87)),IF(S87="Probabilidad",(L86-(+L86*V87)),IF(S87="Impacto",Z86,""))),"")</f>
        <v/>
      </c>
      <c r="AA87" s="478"/>
      <c r="AB87" s="177"/>
      <c r="AC87" s="475"/>
      <c r="AD87" s="177" t="str">
        <f>IFERROR(IF(AND(S86="Impacto",V87="Impacto"),(AD86-(+AD86*V87)),IF(S87="Impacto",(O86-(+O86*V87)),IF(S87="Probabilidad",AD86,""))),"")</f>
        <v/>
      </c>
      <c r="AE87" s="478"/>
      <c r="AF87" s="177"/>
      <c r="AG87" s="475"/>
      <c r="AH87" s="475"/>
      <c r="AI87" s="206"/>
      <c r="AJ87" s="176"/>
      <c r="AK87" s="176"/>
      <c r="AL87" s="112"/>
      <c r="AM87" s="176"/>
      <c r="AN87" s="176"/>
      <c r="AO87" s="176"/>
      <c r="AP87" s="497"/>
      <c r="AQ87" s="537"/>
      <c r="FM87" s="89"/>
    </row>
    <row r="88" spans="1:173" s="78" customFormat="1" ht="13.5" customHeight="1" x14ac:dyDescent="0.25">
      <c r="A88" s="206"/>
      <c r="B88" s="110" t="s">
        <v>308</v>
      </c>
      <c r="C88" s="206"/>
      <c r="D88" s="206"/>
      <c r="E88" s="206"/>
      <c r="F88" s="206"/>
      <c r="G88" s="206"/>
      <c r="H88" s="206"/>
      <c r="I88" s="206"/>
      <c r="J88" s="206"/>
      <c r="K88" s="475"/>
      <c r="L88" s="475"/>
      <c r="M88" s="475"/>
      <c r="N88" s="475"/>
      <c r="O88" s="481"/>
      <c r="P88" s="475"/>
      <c r="Q88" s="110"/>
      <c r="R88" s="176"/>
      <c r="S88" s="176"/>
      <c r="T88" s="176"/>
      <c r="U88" s="176"/>
      <c r="V88" s="176" t="str">
        <f t="shared" si="21"/>
        <v/>
      </c>
      <c r="W88" s="176"/>
      <c r="X88" s="176"/>
      <c r="Y88" s="176"/>
      <c r="Z88" s="129" t="str">
        <f>IFERROR(IF(AND(S87="Probabilidad",S88="Probabilidad"),(Z87-(+Z87*V88)),IF(S88="Probabilidad",(L87-(+L87*V88)),IF(S88="Impacto",Z87,""))),"")</f>
        <v/>
      </c>
      <c r="AA88" s="478"/>
      <c r="AB88" s="177"/>
      <c r="AC88" s="475"/>
      <c r="AD88" s="177" t="str">
        <f>IFERROR(IF(AND(S87="Impacto",V88="Impacto"),(AD87-(+AD87*V88)),IF(S88="Impacto",(O87-(+O87*V88)),IF(S88="Probabilidad",AD87,""))),"")</f>
        <v/>
      </c>
      <c r="AE88" s="478"/>
      <c r="AF88" s="177"/>
      <c r="AG88" s="475"/>
      <c r="AH88" s="475"/>
      <c r="AI88" s="206"/>
      <c r="AJ88" s="176"/>
      <c r="AK88" s="176"/>
      <c r="AL88" s="112"/>
      <c r="AM88" s="176"/>
      <c r="AN88" s="176"/>
      <c r="AO88" s="176"/>
      <c r="AP88" s="497"/>
      <c r="AQ88" s="537"/>
      <c r="FM88" s="89"/>
    </row>
    <row r="89" spans="1:173" s="78" customFormat="1" ht="13.5" customHeight="1" x14ac:dyDescent="0.25">
      <c r="A89" s="207"/>
      <c r="B89" s="110" t="s">
        <v>308</v>
      </c>
      <c r="C89" s="207"/>
      <c r="D89" s="207"/>
      <c r="E89" s="207"/>
      <c r="F89" s="207"/>
      <c r="G89" s="207"/>
      <c r="H89" s="207"/>
      <c r="I89" s="207"/>
      <c r="J89" s="207"/>
      <c r="K89" s="486"/>
      <c r="L89" s="486"/>
      <c r="M89" s="486"/>
      <c r="N89" s="486"/>
      <c r="O89" s="491"/>
      <c r="P89" s="486"/>
      <c r="Q89" s="110"/>
      <c r="R89" s="176"/>
      <c r="S89" s="176"/>
      <c r="T89" s="176"/>
      <c r="U89" s="176"/>
      <c r="V89" s="176" t="str">
        <f t="shared" si="21"/>
        <v/>
      </c>
      <c r="W89" s="176"/>
      <c r="X89" s="176"/>
      <c r="Y89" s="176"/>
      <c r="Z89" s="129" t="str">
        <f>IFERROR(IF(AND(S88="Probabilidad",S89="Probabilidad"),(Z88-(+Z88*V89)),IF(S89="Probabilidad",(L88-(+L88*V89)),IF(S89="Impacto",Z88,""))),"")</f>
        <v/>
      </c>
      <c r="AA89" s="489"/>
      <c r="AB89" s="177"/>
      <c r="AC89" s="486"/>
      <c r="AD89" s="177" t="str">
        <f>IFERROR(IF(AND(S88="Impacto",V89="Impacto"),(AD88-(+AD88*V89)),IF(S89="Impacto",(O88-(+O88*V89)),IF(S89="Probabilidad",AD88,""))),"")</f>
        <v/>
      </c>
      <c r="AE89" s="489"/>
      <c r="AF89" s="177"/>
      <c r="AG89" s="486"/>
      <c r="AH89" s="486"/>
      <c r="AI89" s="207"/>
      <c r="AJ89" s="176"/>
      <c r="AK89" s="176"/>
      <c r="AL89" s="112"/>
      <c r="AM89" s="176"/>
      <c r="AN89" s="176"/>
      <c r="AO89" s="176"/>
      <c r="AP89" s="498"/>
      <c r="AQ89" s="538"/>
      <c r="FM89" s="89"/>
      <c r="FQ89" s="79"/>
    </row>
    <row r="90" spans="1:173" s="78" customFormat="1" ht="13.5" customHeight="1" x14ac:dyDescent="0.25">
      <c r="A90" s="205">
        <v>17</v>
      </c>
      <c r="B90" s="110" t="s">
        <v>308</v>
      </c>
      <c r="C90" s="205" t="s">
        <v>248</v>
      </c>
      <c r="D90" s="205" t="s">
        <v>318</v>
      </c>
      <c r="E90" s="205" t="s">
        <v>319</v>
      </c>
      <c r="F90" s="205" t="s">
        <v>320</v>
      </c>
      <c r="G90" s="205" t="s">
        <v>149</v>
      </c>
      <c r="H90" s="205" t="s">
        <v>150</v>
      </c>
      <c r="I90" s="205" t="s">
        <v>83</v>
      </c>
      <c r="J90" s="205">
        <v>12</v>
      </c>
      <c r="K90" s="474" t="str">
        <f>IF(AND(J90&lt;=2),"Muy Baja",IF(AND(J90&gt;=3,J90&lt;=23),"Baja",IF(AND(J90&gt;=24,J90&lt;=499),"Media",IF(AND(J90&gt;=500,J90&lt;=4999),"Alta",IF(AND(J90&gt;=5000),"Muy Alta",FALSE)))))</f>
        <v>Baja</v>
      </c>
      <c r="L90" s="474" t="str">
        <f>IF(AND(J90&lt;=2),"20%",IF(AND(J90&gt;=3,J90&lt;=23),"40%",IF(AND(J90&gt;=24,J90&lt;=499),"60%",IF(AND(J90&gt;=500,J90&lt;=4999),"80%",IF(AND(J90&gt;=5000),"100%",FALSE)))))</f>
        <v>40%</v>
      </c>
      <c r="M90" s="474" t="s">
        <v>160</v>
      </c>
      <c r="N90" s="474" t="str">
        <f>IF(AND(M90=$FQ$4),"Leve",IF(AND(M90=$FQ$5),"Menor",IF(AND(M90=$FQ$6),"Moderado",IF(AND(M90=$FQ$7),"mayor",IF(AND(M90=$FQ$8),"Catastrófico",IF(AND(M90=$FQ$10),"Leve",IF(AND(M90=$FQ$11),"Menor",IF(AND(M90=$FQ$12),"Moderado",IF(AND(M90=$FQ$13),"Mayor",IF(AND(M90=$FQ$14),"Catastrófico",FALSE))))))))))</f>
        <v>Menor</v>
      </c>
      <c r="O90" s="480" t="str">
        <f>IF(AND(N90="Leve"),"20%",IF(AND(N90="Menor"),"40%",IF(AND(N90="Moderado"),"60%",IF(AND(N90="Mayor"),"80%",IF(AND(N90="Catastrófico"),"100%","")))))</f>
        <v>40%</v>
      </c>
      <c r="P90" s="474" t="str">
        <f>IF(AND(L90&lt;="40%",O90="20%"),"Bajo",IF(AND(L90="60%",O90="20%"),"Moderado",IF(AND(L90="80%",O90="20%"),"Moderado",IF(AND(L90="100%",O90="20%"),"Alto",IF(AND(L90="20%",O90="40%"),"Bajo",IF(AND(L90="40%",O90="40%"),"Moderado",IF(AND(L90="60%",O90="40%"),"Moderado",IF(AND(L90="80%",O90="40%"),"Moderado",IF(AND(L90="100%",O90="40%"),"Alto",IF(AND(L90="20%",O90="60%"),"Moderado",IF(AND(L90="40%",O90="60%"),"Moderado",IF(AND(L90="60%",O90="60%"),"Moderado",IF(AND(L90="80%",O90="60%"),"Alto",IF(AND(L90="100%",O90="60%"),"Alto",IF(AND(L90="20%",O90="80%"),"Alto",IF(AND(L90="40%",O90="80%"),"Alto",IF(AND(L90="60%",O90="80%"),"Alto",IF(AND(L90="80%",O90="80%"),"Alto",IF(AND(L90="100%",O90="80%"),"Alto",IF(AND(L90="20%",O90="100%"),"Extremo",IF(AND(L90="40%",O90="100%"),"Extremo",IF(AND(L90="60%",O90="100%"),"Extremo",IF(AND(L90="80%",O90="100%"),"Moderado",IF(AND(L90="100%",O90="100%"),"Extremo",""""))))))))))))))))))))))))</f>
        <v>Moderado</v>
      </c>
      <c r="Q90" s="110">
        <v>1</v>
      </c>
      <c r="R90" s="176" t="s">
        <v>321</v>
      </c>
      <c r="S90" s="176" t="s">
        <v>237</v>
      </c>
      <c r="T90" s="176" t="s">
        <v>152</v>
      </c>
      <c r="U90" s="176" t="s">
        <v>153</v>
      </c>
      <c r="V90" s="176" t="str">
        <f t="shared" si="21"/>
        <v>40%</v>
      </c>
      <c r="W90" s="176" t="s">
        <v>154</v>
      </c>
      <c r="X90" s="176" t="s">
        <v>155</v>
      </c>
      <c r="Y90" s="176" t="s">
        <v>156</v>
      </c>
      <c r="Z90" s="129">
        <f>IFERROR(IF(S90="Probabilidad",(L90-(+L90*V90)),IF(S90="Impacto",L90,"")),"")</f>
        <v>0.24</v>
      </c>
      <c r="AA90" s="477">
        <f>LOOKUP(2,1/(Z90:Z95&lt;&gt;""),Z90:Z95)</f>
        <v>0.24</v>
      </c>
      <c r="AB90" s="177"/>
      <c r="AC90" s="474" t="str">
        <f>IF(AND(AA90&lt;=20%),"Muy Baja",IF(AND(AA90&gt;=21%,AA90&lt;=40%),"Baja",IF(AND(AA90&gt;=41%,AA90&lt;=60%),"Media",IF(AND(AA90&gt;=61%,AA90&lt;=80%),"Alta",IF(AND(AA90&gt;=81%,AA90&gt;=100%),"Muy Alta",FALSE)))))</f>
        <v>Baja</v>
      </c>
      <c r="AD90" s="177" t="str">
        <f>IFERROR(IF(S90="Impacto",(O90-(+O90*V90)),IF(S90="Probabilidad",O90,"")),"")</f>
        <v>40%</v>
      </c>
      <c r="AE90" s="477" t="str">
        <f>LOOKUP(2,1/(AD90:AD95&lt;&gt;""),AD90:AD95)</f>
        <v>40%</v>
      </c>
      <c r="AF90" s="177"/>
      <c r="AG90" s="474" t="str">
        <f>IF(AND(AE90&lt;=20%),"Leve",IF(AND(AE90&gt;=21%,AE90&lt;="40%"),"Menor",IF(AND(AE90&gt;=41%,AE90&lt;=60%),"Moderado",IF(AND(AE90&gt;=61%,AE90&lt;=80%),"Mayor",IF(AND(AE90&gt;=81%,AE90&gt;=100%),"Catastrófico",FALSE)))))</f>
        <v>Menor</v>
      </c>
      <c r="AH90" s="474" t="str">
        <f>IF(OR(AND(AC90="Media",AG90="Leve"),AND(AC90="Alta",AG90="Leve"),AND(AC90="Alta",AG90="Menor"),AND(AC90="Media",AG90="Menor"),AND(AC90="Baja",AG90="Menor"),AND(AC90="Media",AG90="Moderado"),AND(AC90="Baja",AG90="Moderado"),AND(AC90="Muy Baja",AG90="Moderado")),"Moderado",IF(OR(AND(AC90="Baja",AG90="Leve"),AND(AC90="Muy Baja",AG90="Leve"),AND(AC90="Muy Baja",AG90="Menor")),"Bajo",IF(OR(AND(AC90="Muy Alta",AG90="Leve"),AND(AC90="Muy Alta",AG90="Menor"),AND(AC90="Muy Alta",AG90="Moderado"),AND(AC90="Alta",AG90="Moderado"),AND(AC90="Muy Alta",AG90="Mayor"),AND(AC90="Alta",AG90="Mayor"),AND(AC90="Media",AG90="Mayor"),AND(AC90="Baja",AG90="Mayor"),AND(AC90="Muy Baja",AG90="Mayor")),"Alto",IF(OR(AND(AC90="Alta",AG90="Catastrófico"),AND(AC90="Muy Alta",AG90="Catastrófico"),AND(AC90="Media",AG90="Catastrófico"),AND(AC90="Baja",AG90="Catastrófico"),AND(AC90="Muy Baja",AG90="Catastrófico")),"Extremo",IF(AG90="Catastrófico","Extremo")))))</f>
        <v>Moderado</v>
      </c>
      <c r="AI90" s="205" t="s">
        <v>111</v>
      </c>
      <c r="AJ90" s="176"/>
      <c r="AK90" s="176"/>
      <c r="AL90" s="112"/>
      <c r="AM90" s="176"/>
      <c r="AN90" s="176"/>
      <c r="AO90" s="176"/>
      <c r="AP90" s="496" t="s">
        <v>322</v>
      </c>
      <c r="AQ90" s="539" t="s">
        <v>113</v>
      </c>
      <c r="FM90" s="89"/>
      <c r="FQ90" s="80"/>
    </row>
    <row r="91" spans="1:173" s="78" customFormat="1" ht="13.5" customHeight="1" x14ac:dyDescent="0.25">
      <c r="A91" s="206"/>
      <c r="B91" s="110" t="s">
        <v>308</v>
      </c>
      <c r="C91" s="206"/>
      <c r="D91" s="206"/>
      <c r="E91" s="206"/>
      <c r="F91" s="206"/>
      <c r="G91" s="206"/>
      <c r="H91" s="206"/>
      <c r="I91" s="206"/>
      <c r="J91" s="206"/>
      <c r="K91" s="475"/>
      <c r="L91" s="475"/>
      <c r="M91" s="475"/>
      <c r="N91" s="475"/>
      <c r="O91" s="481"/>
      <c r="P91" s="475"/>
      <c r="Q91" s="110"/>
      <c r="R91" s="176"/>
      <c r="S91" s="176"/>
      <c r="T91" s="176"/>
      <c r="U91" s="176"/>
      <c r="V91" s="176"/>
      <c r="W91" s="176"/>
      <c r="X91" s="176"/>
      <c r="Y91" s="176"/>
      <c r="Z91" s="129" t="str">
        <f>IFERROR(IF(AND(S90="Probabilidad",S91="Probabilidad"),(Z90-(+Z90*V91)),IF(S91="Probabilidad",(L90-(+L90*V91)),IF(S91="Impacto",Z90,""))),"")</f>
        <v/>
      </c>
      <c r="AA91" s="478"/>
      <c r="AB91" s="177"/>
      <c r="AC91" s="475"/>
      <c r="AD91" s="177" t="str">
        <f>IFERROR(IF(AND(S90="Impacto",V91="Impacto"),(AD90-(+AD90*V91)),IF(S91="Impacto",(O90-(+O90*V91)),IF(S91="Probabilidad",AD90,""))),"")</f>
        <v/>
      </c>
      <c r="AE91" s="478"/>
      <c r="AF91" s="177"/>
      <c r="AG91" s="475"/>
      <c r="AH91" s="475"/>
      <c r="AI91" s="206"/>
      <c r="AJ91" s="176"/>
      <c r="AK91" s="176"/>
      <c r="AL91" s="112"/>
      <c r="AM91" s="176"/>
      <c r="AN91" s="176"/>
      <c r="AO91" s="176"/>
      <c r="AP91" s="497"/>
      <c r="AQ91" s="537"/>
      <c r="FM91" s="89"/>
    </row>
    <row r="92" spans="1:173" s="78" customFormat="1" ht="13.5" customHeight="1" x14ac:dyDescent="0.25">
      <c r="A92" s="206"/>
      <c r="B92" s="110" t="s">
        <v>308</v>
      </c>
      <c r="C92" s="206"/>
      <c r="D92" s="206"/>
      <c r="E92" s="206"/>
      <c r="F92" s="206"/>
      <c r="G92" s="206"/>
      <c r="H92" s="206"/>
      <c r="I92" s="206"/>
      <c r="J92" s="206"/>
      <c r="K92" s="475"/>
      <c r="L92" s="475"/>
      <c r="M92" s="475"/>
      <c r="N92" s="475"/>
      <c r="O92" s="481"/>
      <c r="P92" s="475"/>
      <c r="Q92" s="110"/>
      <c r="R92" s="176"/>
      <c r="S92" s="176"/>
      <c r="T92" s="176"/>
      <c r="U92" s="176"/>
      <c r="V92" s="176" t="str">
        <f t="shared" ref="V92:V107" si="22">IF(AND(T92=$FS$2,U92=$FT$2),"50%",IF(AND(T92=$FS$2,U92=$FT$3),"40%",IF(AND(T92=$FS$3,U92=$FT$2),"40%",IF(AND(T92=$FS$3,U92=$FT$3),"30%",IF(AND(T92=$FS$4,U92=$FT$2),"35%",IF(AND(T92=$FS$4,U92=$FT$3),"25%",""))))))</f>
        <v/>
      </c>
      <c r="W92" s="176"/>
      <c r="X92" s="176"/>
      <c r="Y92" s="176"/>
      <c r="Z92" s="129" t="str">
        <f>IFERROR(IF(AND(S91="Probabilidad",S92="Probabilidad"),(Z91-(+Z91*V92)),IF(S92="Probabilidad",(L91-(+L91*V92)),IF(S92="Impacto",Z91,""))),"")</f>
        <v/>
      </c>
      <c r="AA92" s="478"/>
      <c r="AB92" s="177"/>
      <c r="AC92" s="475"/>
      <c r="AD92" s="177" t="str">
        <f>IFERROR(IF(AND(S91="Impacto",V92="Impacto"),(AD91-(+AD91*V92)),IF(S92="Impacto",(O91-(+O91*V92)),IF(S92="Probabilidad",AD91,""))),"")</f>
        <v/>
      </c>
      <c r="AE92" s="478"/>
      <c r="AF92" s="177"/>
      <c r="AG92" s="475"/>
      <c r="AH92" s="475"/>
      <c r="AI92" s="206"/>
      <c r="AJ92" s="176"/>
      <c r="AK92" s="176"/>
      <c r="AL92" s="112"/>
      <c r="AM92" s="176"/>
      <c r="AN92" s="176"/>
      <c r="AO92" s="176"/>
      <c r="AP92" s="497"/>
      <c r="AQ92" s="537"/>
      <c r="FM92" s="89"/>
    </row>
    <row r="93" spans="1:173" s="78" customFormat="1" ht="13.5" customHeight="1" x14ac:dyDescent="0.25">
      <c r="A93" s="206"/>
      <c r="B93" s="110" t="s">
        <v>308</v>
      </c>
      <c r="C93" s="206"/>
      <c r="D93" s="206"/>
      <c r="E93" s="206"/>
      <c r="F93" s="206"/>
      <c r="G93" s="206"/>
      <c r="H93" s="206"/>
      <c r="I93" s="206"/>
      <c r="J93" s="206"/>
      <c r="K93" s="475"/>
      <c r="L93" s="475"/>
      <c r="M93" s="475"/>
      <c r="N93" s="475"/>
      <c r="O93" s="481"/>
      <c r="P93" s="475"/>
      <c r="Q93" s="110"/>
      <c r="R93" s="176"/>
      <c r="S93" s="176"/>
      <c r="T93" s="176"/>
      <c r="U93" s="176"/>
      <c r="V93" s="176" t="str">
        <f t="shared" si="22"/>
        <v/>
      </c>
      <c r="W93" s="176"/>
      <c r="X93" s="176"/>
      <c r="Y93" s="176"/>
      <c r="Z93" s="129" t="str">
        <f>IFERROR(IF(AND(S92="Probabilidad",S93="Probabilidad"),(Z92-(+Z92*V93)),IF(S93="Probabilidad",(L92-(+L92*V93)),IF(S93="Impacto",Z92,""))),"")</f>
        <v/>
      </c>
      <c r="AA93" s="478"/>
      <c r="AB93" s="177"/>
      <c r="AC93" s="475"/>
      <c r="AD93" s="177" t="str">
        <f>IFERROR(IF(AND(S92="Impacto",V93="Impacto"),(AD92-(+AD92*V93)),IF(S93="Impacto",(O92-(+O92*V93)),IF(S93="Probabilidad",AD92,""))),"")</f>
        <v/>
      </c>
      <c r="AE93" s="478"/>
      <c r="AF93" s="177"/>
      <c r="AG93" s="475"/>
      <c r="AH93" s="475"/>
      <c r="AI93" s="206"/>
      <c r="AJ93" s="176"/>
      <c r="AK93" s="176"/>
      <c r="AL93" s="112"/>
      <c r="AM93" s="176"/>
      <c r="AN93" s="176"/>
      <c r="AO93" s="176"/>
      <c r="AP93" s="497"/>
      <c r="AQ93" s="537"/>
      <c r="FM93" s="89"/>
    </row>
    <row r="94" spans="1:173" s="78" customFormat="1" ht="13.5" customHeight="1" x14ac:dyDescent="0.25">
      <c r="A94" s="206"/>
      <c r="B94" s="110" t="s">
        <v>308</v>
      </c>
      <c r="C94" s="206"/>
      <c r="D94" s="206"/>
      <c r="E94" s="206"/>
      <c r="F94" s="206"/>
      <c r="G94" s="206"/>
      <c r="H94" s="206"/>
      <c r="I94" s="206"/>
      <c r="J94" s="206"/>
      <c r="K94" s="475"/>
      <c r="L94" s="475"/>
      <c r="M94" s="475"/>
      <c r="N94" s="475"/>
      <c r="O94" s="481"/>
      <c r="P94" s="475"/>
      <c r="Q94" s="110"/>
      <c r="R94" s="176"/>
      <c r="S94" s="176"/>
      <c r="T94" s="176"/>
      <c r="U94" s="176"/>
      <c r="V94" s="176" t="str">
        <f t="shared" si="22"/>
        <v/>
      </c>
      <c r="W94" s="176"/>
      <c r="X94" s="176"/>
      <c r="Y94" s="176"/>
      <c r="Z94" s="129" t="str">
        <f>IFERROR(IF(AND(S93="Probabilidad",S94="Probabilidad"),(Z93-(+Z93*V94)),IF(S94="Probabilidad",(L93-(+L93*V94)),IF(S94="Impacto",Z93,""))),"")</f>
        <v/>
      </c>
      <c r="AA94" s="478"/>
      <c r="AB94" s="177"/>
      <c r="AC94" s="475"/>
      <c r="AD94" s="177" t="str">
        <f>IFERROR(IF(AND(S93="Impacto",V94="Impacto"),(AD93-(+AD93*V94)),IF(S94="Impacto",(O93-(+O93*V94)),IF(S94="Probabilidad",AD93,""))),"")</f>
        <v/>
      </c>
      <c r="AE94" s="478"/>
      <c r="AF94" s="177"/>
      <c r="AG94" s="475"/>
      <c r="AH94" s="475"/>
      <c r="AI94" s="206"/>
      <c r="AJ94" s="176"/>
      <c r="AK94" s="176"/>
      <c r="AL94" s="112"/>
      <c r="AM94" s="176"/>
      <c r="AN94" s="176"/>
      <c r="AO94" s="176"/>
      <c r="AP94" s="497"/>
      <c r="AQ94" s="537"/>
      <c r="FM94" s="89"/>
    </row>
    <row r="95" spans="1:173" s="78" customFormat="1" ht="13.5" customHeight="1" x14ac:dyDescent="0.25">
      <c r="A95" s="207"/>
      <c r="B95" s="110" t="s">
        <v>308</v>
      </c>
      <c r="C95" s="207"/>
      <c r="D95" s="207"/>
      <c r="E95" s="207"/>
      <c r="F95" s="207"/>
      <c r="G95" s="207"/>
      <c r="H95" s="207"/>
      <c r="I95" s="207"/>
      <c r="J95" s="207"/>
      <c r="K95" s="486"/>
      <c r="L95" s="486"/>
      <c r="M95" s="486"/>
      <c r="N95" s="486"/>
      <c r="O95" s="491"/>
      <c r="P95" s="486"/>
      <c r="Q95" s="110"/>
      <c r="R95" s="176"/>
      <c r="S95" s="176"/>
      <c r="T95" s="176"/>
      <c r="U95" s="176"/>
      <c r="V95" s="176" t="str">
        <f t="shared" si="22"/>
        <v/>
      </c>
      <c r="W95" s="176"/>
      <c r="X95" s="176"/>
      <c r="Y95" s="176"/>
      <c r="Z95" s="129" t="str">
        <f>IFERROR(IF(AND(S94="Probabilidad",S95="Probabilidad"),(Z94-(+Z94*V95)),IF(S95="Probabilidad",(L94-(+L94*V95)),IF(S95="Impacto",Z94,""))),"")</f>
        <v/>
      </c>
      <c r="AA95" s="489"/>
      <c r="AB95" s="177"/>
      <c r="AC95" s="486"/>
      <c r="AD95" s="177" t="str">
        <f>IFERROR(IF(AND(S94="Impacto",V95="Impacto"),(AD94-(+AD94*V95)),IF(S95="Impacto",(O94-(+O94*V95)),IF(S95="Probabilidad",AD94,""))),"")</f>
        <v/>
      </c>
      <c r="AE95" s="489"/>
      <c r="AF95" s="177"/>
      <c r="AG95" s="486"/>
      <c r="AH95" s="486"/>
      <c r="AI95" s="207"/>
      <c r="AJ95" s="176"/>
      <c r="AK95" s="176"/>
      <c r="AL95" s="112"/>
      <c r="AM95" s="176"/>
      <c r="AN95" s="176"/>
      <c r="AO95" s="176"/>
      <c r="AP95" s="498"/>
      <c r="AQ95" s="538"/>
      <c r="FM95" s="89"/>
      <c r="FQ95" s="79"/>
    </row>
    <row r="96" spans="1:173" s="78" customFormat="1" ht="13.5" customHeight="1" x14ac:dyDescent="0.25">
      <c r="A96" s="205">
        <v>18</v>
      </c>
      <c r="B96" s="110" t="s">
        <v>308</v>
      </c>
      <c r="C96" s="205" t="s">
        <v>248</v>
      </c>
      <c r="D96" s="205" t="s">
        <v>323</v>
      </c>
      <c r="E96" s="205" t="s">
        <v>324</v>
      </c>
      <c r="F96" s="205" t="s">
        <v>325</v>
      </c>
      <c r="G96" s="205" t="s">
        <v>149</v>
      </c>
      <c r="H96" s="205" t="s">
        <v>150</v>
      </c>
      <c r="I96" s="205" t="s">
        <v>83</v>
      </c>
      <c r="J96" s="205">
        <v>12</v>
      </c>
      <c r="K96" s="474" t="str">
        <f>IF(AND(J96&lt;=2),"Muy Baja",IF(AND(J96&gt;=3,J96&lt;=23),"Baja",IF(AND(J96&gt;=24,J96&lt;=499),"Media",IF(AND(J96&gt;=500,J96&lt;=4999),"Alta",IF(AND(J96&gt;=5000),"Muy Alta",FALSE)))))</f>
        <v>Baja</v>
      </c>
      <c r="L96" s="474" t="str">
        <f>IF(AND(J96&lt;=2),"20%",IF(AND(J96&gt;=3,J96&lt;=23),"40%",IF(AND(J96&gt;=24,J96&lt;=499),"60%",IF(AND(J96&gt;=500,J96&lt;=4999),"80%",IF(AND(J96&gt;=5000),"100%",FALSE)))))</f>
        <v>40%</v>
      </c>
      <c r="M96" s="474" t="s">
        <v>162</v>
      </c>
      <c r="N96" s="474" t="str">
        <f>IF(AND(M96=$FQ$4),"Leve",IF(AND(M96=$FQ$5),"Menor",IF(AND(M96=$FQ$6),"Moderado",IF(AND(M96=$FQ$7),"mayor",IF(AND(M96=$FQ$8),"Catastrófico",IF(AND(M96=$FQ$10),"Leve",IF(AND(M96=$FQ$11),"Menor",IF(AND(M96=$FQ$12),"Moderado",IF(AND(M96=$FQ$13),"Mayor",IF(AND(M96=$FQ$14),"Catastrófico",FALSE))))))))))</f>
        <v>Moderado</v>
      </c>
      <c r="O96" s="480" t="str">
        <f>IF(AND(N96="Leve"),"20%",IF(AND(N96="Menor"),"40%",IF(AND(N96="Moderado"),"60%",IF(AND(N96="Mayor"),"80%",IF(AND(N96="Catastrófico"),"100%","")))))</f>
        <v>60%</v>
      </c>
      <c r="P96" s="474" t="str">
        <f>IF(AND(L96&lt;="40%",O96="20%"),"Bajo",IF(AND(L96="60%",O96="20%"),"Moderado",IF(AND(L96="80%",O96="20%"),"Moderado",IF(AND(L96="100%",O96="20%"),"Alto",IF(AND(L96="20%",O96="40%"),"Bajo",IF(AND(L96="40%",O96="40%"),"Moderado",IF(AND(L96="60%",O96="40%"),"Moderado",IF(AND(L96="80%",O96="40%"),"Moderado",IF(AND(L96="100%",O96="40%"),"Alto",IF(AND(L96="20%",O96="60%"),"Moderado",IF(AND(L96="40%",O96="60%"),"Moderado",IF(AND(L96="60%",O96="60%"),"Moderado",IF(AND(L96="80%",O96="60%"),"Alto",IF(AND(L96="100%",O96="60%"),"Alto",IF(AND(L96="20%",O96="80%"),"Alto",IF(AND(L96="40%",O96="80%"),"Alto",IF(AND(L96="60%",O96="80%"),"Alto",IF(AND(L96="80%",O96="80%"),"Alto",IF(AND(L96="100%",O96="80%"),"Alto",IF(AND(L96="20%",O96="100%"),"Extremo",IF(AND(L96="40%",O96="100%"),"Extremo",IF(AND(L96="60%",O96="100%"),"Extremo",IF(AND(L96="80%",O96="100%"),"Moderado",IF(AND(L96="100%",O96="100%"),"Extremo",""""))))))))))))))))))))))))</f>
        <v>Moderado</v>
      </c>
      <c r="Q96" s="110">
        <v>1</v>
      </c>
      <c r="R96" s="134" t="s">
        <v>326</v>
      </c>
      <c r="S96" s="176" t="s">
        <v>237</v>
      </c>
      <c r="T96" s="176" t="s">
        <v>152</v>
      </c>
      <c r="U96" s="176" t="s">
        <v>171</v>
      </c>
      <c r="V96" s="176" t="str">
        <f t="shared" si="22"/>
        <v>50%</v>
      </c>
      <c r="W96" s="176" t="s">
        <v>154</v>
      </c>
      <c r="X96" s="176" t="s">
        <v>155</v>
      </c>
      <c r="Y96" s="176" t="s">
        <v>156</v>
      </c>
      <c r="Z96" s="129">
        <f>IFERROR(IF(S96="Probabilidad",(L96-(+L96*V96)),IF(S96="Impacto",L96,"")),"")</f>
        <v>0.2</v>
      </c>
      <c r="AA96" s="477">
        <f>LOOKUP(2,1/(Z96:Z101&lt;&gt;""),Z96:Z101)</f>
        <v>0.12</v>
      </c>
      <c r="AB96" s="177"/>
      <c r="AC96" s="474" t="str">
        <f>IF(AND(AA96&lt;=20%),"Muy Baja",IF(AND(AA96&gt;=21%,AA96&lt;=40%),"Baja",IF(AND(AA96&gt;=41%,AA96&lt;=60%),"Media",IF(AND(AA96&gt;=61%,AA96&lt;=80%),"Alta",IF(AND(AA96&gt;=81%,AA96&gt;=100%),"Muy Alta",FALSE)))))</f>
        <v>Muy Baja</v>
      </c>
      <c r="AD96" s="177" t="str">
        <f>IFERROR(IF(S96="Impacto",(O96-(+O96*V96)),IF(S96="Probabilidad",O96,"")),"")</f>
        <v>60%</v>
      </c>
      <c r="AE96" s="477" t="str">
        <f>LOOKUP(2,1/(AD96:AD101&lt;&gt;""),AD96:AD101)</f>
        <v>60%</v>
      </c>
      <c r="AF96" s="177"/>
      <c r="AG96" s="474" t="str">
        <f>IF(AND(AE96&lt;=20%),"Leve",IF(AND(AE96&gt;=21%,AE96&lt;=40%),"Menor",IF(AND(AE96&gt;=41%,AE96&lt;="60%"),"Moderado",IF(AND(AE96&gt;=61%,AE96&lt;=80%),"Mayor",IF(AND(AE96&gt;=81%,AE96&gt;=100%),"Catastrófico",FALSE)))))</f>
        <v>Moderado</v>
      </c>
      <c r="AH96" s="474" t="str">
        <f>IF(OR(AND(AC96="Media",AG96="Leve"),AND(AC96="Alta",AG96="Leve"),AND(AC96="Alta",AG96="Menor"),AND(AC96="Media",AG96="Menor"),AND(AC96="Baja",AG96="Menor"),AND(AC96="Media",AG96="Moderado"),AND(AC96="Baja",AG96="Moderado"),AND(AC96="Muy Baja",AG96="Moderado")),"Moderado",IF(OR(AND(AC96="Baja",AG96="Leve"),AND(AC96="Muy Baja",AG96="Leve"),AND(AC96="Muy Baja",AG96="Menor")),"Bajo",IF(OR(AND(AC96="Muy Alta",AG96="Leve"),AND(AC96="Muy Alta",AG96="Menor"),AND(AC96="Muy Alta",AG96="Moderado"),AND(AC96="Alta",AG96="Moderado"),AND(AC96="Muy Alta",AG96="Mayor"),AND(AC96="Alta",AG96="Mayor"),AND(AC96="Media",AG96="Mayor"),AND(AC96="Baja",AG96="Mayor"),AND(AC96="Muy Baja",AG96="Mayor")),"Alto",IF(OR(AND(AC96="Alta",AG96="Catastrófico"),AND(AC96="Muy Alta",AG96="Catastrófico"),AND(AC96="Media",AG96="Catastrófico"),AND(AC96="Baja",AG96="Catastrófico"),AND(AC96="Muy Baja",AG96="Catastrófico")),"Extremo",IF(AG96="Catastrófico","Extremo")))))</f>
        <v>Moderado</v>
      </c>
      <c r="AI96" s="205" t="s">
        <v>111</v>
      </c>
      <c r="AJ96" s="176"/>
      <c r="AK96" s="176"/>
      <c r="AL96" s="112"/>
      <c r="AM96" s="176"/>
      <c r="AN96" s="176"/>
      <c r="AO96" s="176"/>
      <c r="AP96" s="496" t="s">
        <v>327</v>
      </c>
      <c r="AQ96" s="539" t="s">
        <v>113</v>
      </c>
      <c r="FM96" s="89"/>
      <c r="FQ96" s="80"/>
    </row>
    <row r="97" spans="1:181" s="78" customFormat="1" ht="13.5" customHeight="1" x14ac:dyDescent="0.25">
      <c r="A97" s="206"/>
      <c r="B97" s="110" t="s">
        <v>308</v>
      </c>
      <c r="C97" s="206"/>
      <c r="D97" s="206"/>
      <c r="E97" s="206"/>
      <c r="F97" s="206"/>
      <c r="G97" s="206"/>
      <c r="H97" s="206"/>
      <c r="I97" s="206"/>
      <c r="J97" s="206"/>
      <c r="K97" s="475"/>
      <c r="L97" s="475"/>
      <c r="M97" s="475"/>
      <c r="N97" s="475"/>
      <c r="O97" s="481"/>
      <c r="P97" s="475"/>
      <c r="Q97" s="110">
        <v>2</v>
      </c>
      <c r="R97" s="134" t="s">
        <v>328</v>
      </c>
      <c r="S97" s="176" t="s">
        <v>237</v>
      </c>
      <c r="T97" s="176" t="s">
        <v>152</v>
      </c>
      <c r="U97" s="176" t="s">
        <v>153</v>
      </c>
      <c r="V97" s="176" t="str">
        <f t="shared" si="22"/>
        <v>40%</v>
      </c>
      <c r="W97" s="176" t="s">
        <v>161</v>
      </c>
      <c r="X97" s="176" t="s">
        <v>155</v>
      </c>
      <c r="Y97" s="176" t="s">
        <v>156</v>
      </c>
      <c r="Z97" s="129">
        <f>IFERROR(IF(AND(S96="Probabilidad",S97="Probabilidad"),(Z96-(+Z96*V97)),IF(S97="Probabilidad",(L96-(+L96*V97)),IF(S97="Impacto",Z96,""))),"")</f>
        <v>0.12</v>
      </c>
      <c r="AA97" s="478"/>
      <c r="AB97" s="177"/>
      <c r="AC97" s="475"/>
      <c r="AD97" s="177" t="str">
        <f>IFERROR(IF(AND(S96="Impacto",V97="Impacto"),(AD96-(+AD96*V97)),IF(S97="Impacto",(O96-(+O96*V97)),IF(S97="Probabilidad",AD96,""))),"")</f>
        <v>60%</v>
      </c>
      <c r="AE97" s="478"/>
      <c r="AF97" s="177"/>
      <c r="AG97" s="475"/>
      <c r="AH97" s="475"/>
      <c r="AI97" s="206"/>
      <c r="AJ97" s="176"/>
      <c r="AK97" s="176"/>
      <c r="AL97" s="112"/>
      <c r="AM97" s="176"/>
      <c r="AN97" s="176"/>
      <c r="AO97" s="176"/>
      <c r="AP97" s="497"/>
      <c r="AQ97" s="537"/>
      <c r="FM97" s="89"/>
    </row>
    <row r="98" spans="1:181" s="78" customFormat="1" ht="13.5" customHeight="1" x14ac:dyDescent="0.25">
      <c r="A98" s="206"/>
      <c r="B98" s="110" t="s">
        <v>308</v>
      </c>
      <c r="C98" s="206"/>
      <c r="D98" s="206"/>
      <c r="E98" s="206"/>
      <c r="F98" s="206"/>
      <c r="G98" s="206"/>
      <c r="H98" s="206"/>
      <c r="I98" s="206"/>
      <c r="J98" s="206"/>
      <c r="K98" s="475"/>
      <c r="L98" s="475"/>
      <c r="M98" s="475"/>
      <c r="N98" s="475"/>
      <c r="O98" s="481"/>
      <c r="P98" s="475"/>
      <c r="Q98" s="110"/>
      <c r="R98" s="176"/>
      <c r="S98" s="176"/>
      <c r="T98" s="176"/>
      <c r="U98" s="176"/>
      <c r="V98" s="176" t="str">
        <f t="shared" si="22"/>
        <v/>
      </c>
      <c r="W98" s="176"/>
      <c r="X98" s="176"/>
      <c r="Y98" s="176"/>
      <c r="Z98" s="129" t="str">
        <f>IFERROR(IF(AND(S97="Probabilidad",S98="Probabilidad"),(Z97-(+Z97*V98)),IF(S98="Probabilidad",(L97-(+L97*V98)),IF(S98="Impacto",Z97,""))),"")</f>
        <v/>
      </c>
      <c r="AA98" s="478"/>
      <c r="AB98" s="177"/>
      <c r="AC98" s="475"/>
      <c r="AD98" s="177" t="str">
        <f>IFERROR(IF(AND(S97="Impacto",V98="Impacto"),(AD97-(+AD97*V98)),IF(S98="Impacto",(O97-(+O97*V98)),IF(S98="Probabilidad",AD97,""))),"")</f>
        <v/>
      </c>
      <c r="AE98" s="478"/>
      <c r="AF98" s="177"/>
      <c r="AG98" s="475"/>
      <c r="AH98" s="475"/>
      <c r="AI98" s="206"/>
      <c r="AJ98" s="176"/>
      <c r="AK98" s="176"/>
      <c r="AL98" s="112"/>
      <c r="AM98" s="176"/>
      <c r="AN98" s="176"/>
      <c r="AO98" s="176"/>
      <c r="AP98" s="497"/>
      <c r="AQ98" s="537"/>
      <c r="FM98" s="89"/>
    </row>
    <row r="99" spans="1:181" s="78" customFormat="1" ht="13.5" customHeight="1" x14ac:dyDescent="0.25">
      <c r="A99" s="206"/>
      <c r="B99" s="110" t="s">
        <v>308</v>
      </c>
      <c r="C99" s="206"/>
      <c r="D99" s="206"/>
      <c r="E99" s="206"/>
      <c r="F99" s="206"/>
      <c r="G99" s="206"/>
      <c r="H99" s="206"/>
      <c r="I99" s="206"/>
      <c r="J99" s="206"/>
      <c r="K99" s="475"/>
      <c r="L99" s="475"/>
      <c r="M99" s="475"/>
      <c r="N99" s="475"/>
      <c r="O99" s="481"/>
      <c r="P99" s="475"/>
      <c r="Q99" s="110"/>
      <c r="R99" s="176"/>
      <c r="S99" s="176"/>
      <c r="T99" s="176"/>
      <c r="U99" s="176"/>
      <c r="V99" s="176" t="str">
        <f t="shared" si="22"/>
        <v/>
      </c>
      <c r="W99" s="176"/>
      <c r="X99" s="176"/>
      <c r="Y99" s="176"/>
      <c r="Z99" s="129" t="str">
        <f>IFERROR(IF(AND(S98="Probabilidad",S99="Probabilidad"),(Z98-(+Z98*V99)),IF(S99="Probabilidad",(L98-(+L98*V99)),IF(S99="Impacto",Z98,""))),"")</f>
        <v/>
      </c>
      <c r="AA99" s="478"/>
      <c r="AB99" s="177"/>
      <c r="AC99" s="475"/>
      <c r="AD99" s="177" t="str">
        <f>IFERROR(IF(AND(S98="Impacto",V99="Impacto"),(AD98-(+AD98*V99)),IF(S99="Impacto",(O98-(+O98*V99)),IF(S99="Probabilidad",AD98,""))),"")</f>
        <v/>
      </c>
      <c r="AE99" s="478"/>
      <c r="AF99" s="177"/>
      <c r="AG99" s="475"/>
      <c r="AH99" s="475"/>
      <c r="AI99" s="206"/>
      <c r="AJ99" s="176"/>
      <c r="AK99" s="176"/>
      <c r="AL99" s="112"/>
      <c r="AM99" s="176"/>
      <c r="AN99" s="176"/>
      <c r="AO99" s="176"/>
      <c r="AP99" s="497"/>
      <c r="AQ99" s="537"/>
      <c r="FM99" s="89"/>
    </row>
    <row r="100" spans="1:181" s="78" customFormat="1" ht="13.5" customHeight="1" x14ac:dyDescent="0.25">
      <c r="A100" s="206"/>
      <c r="B100" s="110" t="s">
        <v>308</v>
      </c>
      <c r="C100" s="206"/>
      <c r="D100" s="206"/>
      <c r="E100" s="206"/>
      <c r="F100" s="206"/>
      <c r="G100" s="206"/>
      <c r="H100" s="206"/>
      <c r="I100" s="206"/>
      <c r="J100" s="206"/>
      <c r="K100" s="475"/>
      <c r="L100" s="475"/>
      <c r="M100" s="475"/>
      <c r="N100" s="475"/>
      <c r="O100" s="481"/>
      <c r="P100" s="475"/>
      <c r="Q100" s="110"/>
      <c r="R100" s="176"/>
      <c r="S100" s="176"/>
      <c r="T100" s="176"/>
      <c r="U100" s="176"/>
      <c r="V100" s="176" t="str">
        <f t="shared" si="22"/>
        <v/>
      </c>
      <c r="W100" s="176"/>
      <c r="X100" s="176"/>
      <c r="Y100" s="176"/>
      <c r="Z100" s="129" t="str">
        <f>IFERROR(IF(AND(S99="Probabilidad",S100="Probabilidad"),(Z99-(+Z99*V100)),IF(S100="Probabilidad",(L99-(+L99*V100)),IF(S100="Impacto",Z99,""))),"")</f>
        <v/>
      </c>
      <c r="AA100" s="478"/>
      <c r="AB100" s="177"/>
      <c r="AC100" s="475"/>
      <c r="AD100" s="177" t="str">
        <f>IFERROR(IF(AND(S99="Impacto",V100="Impacto"),(AD99-(+AD99*V100)),IF(S100="Impacto",(O99-(+O99*V100)),IF(S100="Probabilidad",AD99,""))),"")</f>
        <v/>
      </c>
      <c r="AE100" s="478"/>
      <c r="AF100" s="177"/>
      <c r="AG100" s="475"/>
      <c r="AH100" s="475"/>
      <c r="AI100" s="206"/>
      <c r="AJ100" s="176"/>
      <c r="AK100" s="176"/>
      <c r="AL100" s="112"/>
      <c r="AM100" s="176"/>
      <c r="AN100" s="176"/>
      <c r="AO100" s="176"/>
      <c r="AP100" s="497"/>
      <c r="AQ100" s="537"/>
      <c r="FM100" s="89"/>
    </row>
    <row r="101" spans="1:181" s="78" customFormat="1" ht="13.5" customHeight="1" x14ac:dyDescent="0.25">
      <c r="A101" s="207"/>
      <c r="B101" s="110" t="s">
        <v>308</v>
      </c>
      <c r="C101" s="207"/>
      <c r="D101" s="207"/>
      <c r="E101" s="207"/>
      <c r="F101" s="207"/>
      <c r="G101" s="207"/>
      <c r="H101" s="207"/>
      <c r="I101" s="207"/>
      <c r="J101" s="207"/>
      <c r="K101" s="486"/>
      <c r="L101" s="486"/>
      <c r="M101" s="486"/>
      <c r="N101" s="486"/>
      <c r="O101" s="491"/>
      <c r="P101" s="486"/>
      <c r="Q101" s="110"/>
      <c r="R101" s="176"/>
      <c r="S101" s="176"/>
      <c r="T101" s="176"/>
      <c r="U101" s="176"/>
      <c r="V101" s="176" t="str">
        <f t="shared" si="22"/>
        <v/>
      </c>
      <c r="W101" s="176"/>
      <c r="X101" s="176"/>
      <c r="Y101" s="176"/>
      <c r="Z101" s="129" t="str">
        <f>IFERROR(IF(AND(S100="Probabilidad",S101="Probabilidad"),(Z100-(+Z100*V101)),IF(S101="Probabilidad",(L100-(+L100*V101)),IF(S101="Impacto",Z100,""))),"")</f>
        <v/>
      </c>
      <c r="AA101" s="489"/>
      <c r="AB101" s="177"/>
      <c r="AC101" s="486"/>
      <c r="AD101" s="177" t="str">
        <f>IFERROR(IF(AND(S100="Impacto",V101="Impacto"),(AD100-(+AD100*V101)),IF(S101="Impacto",(O100-(+O100*V101)),IF(S101="Probabilidad",AD100,""))),"")</f>
        <v/>
      </c>
      <c r="AE101" s="489"/>
      <c r="AF101" s="177"/>
      <c r="AG101" s="486"/>
      <c r="AH101" s="486"/>
      <c r="AI101" s="207"/>
      <c r="AJ101" s="176"/>
      <c r="AK101" s="176"/>
      <c r="AL101" s="112"/>
      <c r="AM101" s="176"/>
      <c r="AN101" s="176"/>
      <c r="AO101" s="176"/>
      <c r="AP101" s="498"/>
      <c r="AQ101" s="538"/>
      <c r="FM101" s="89"/>
      <c r="FQ101" s="79"/>
    </row>
    <row r="102" spans="1:181" s="78" customFormat="1" ht="14.25" customHeight="1" x14ac:dyDescent="0.25">
      <c r="A102" s="205">
        <v>19</v>
      </c>
      <c r="B102" s="110" t="s">
        <v>308</v>
      </c>
      <c r="C102" s="205" t="s">
        <v>260</v>
      </c>
      <c r="D102" s="205" t="s">
        <v>329</v>
      </c>
      <c r="E102" s="205" t="s">
        <v>330</v>
      </c>
      <c r="F102" s="205" t="s">
        <v>331</v>
      </c>
      <c r="G102" s="205" t="s">
        <v>149</v>
      </c>
      <c r="H102" s="205" t="s">
        <v>150</v>
      </c>
      <c r="I102" s="205" t="s">
        <v>83</v>
      </c>
      <c r="J102" s="205">
        <v>12</v>
      </c>
      <c r="K102" s="474" t="str">
        <f>IF(AND(J102&lt;=2),"Muy Baja",IF(AND(J102&gt;=3,J102&lt;=23),"Baja",IF(AND(J102&gt;=24,J102&lt;=499),"Media",IF(AND(J102&gt;=500,J102&lt;=4999),"Alta",IF(AND(J102&gt;=5000),"Muy Alta",FALSE)))))</f>
        <v>Baja</v>
      </c>
      <c r="L102" s="474" t="str">
        <f>IF(AND(J102&lt;=2),"20%",IF(AND(J102&gt;=3,J102&lt;=23),"40%",IF(AND(J102&gt;=24,J102&lt;=499),"60%",IF(AND(J102&gt;=500,J102&lt;=4999),"80%",IF(AND(J102&gt;=5000),"100%",FALSE)))))</f>
        <v>40%</v>
      </c>
      <c r="M102" s="474" t="s">
        <v>235</v>
      </c>
      <c r="N102" s="474" t="str">
        <f>IF(AND(M102=$FQ$4),"Leve",IF(AND(M102=$FQ$5),"Menor",IF(AND(M102=$FQ$6),"Moderado",IF(AND(M102=$FQ$7),"mayor",IF(AND(M102=$FQ$8),"Catastrófico",IF(AND(M102=$FQ$10),"Leve",IF(AND(M102=$FQ$11),"Menor",IF(AND(M102=$FQ$12),"Moderado",IF(AND(M102=$FQ$13),"Mayor",IF(AND(M102=$FQ$14),"Catastrófico",FALSE))))))))))</f>
        <v>Catastrófico</v>
      </c>
      <c r="O102" s="480" t="str">
        <f>IF(AND(N102="Leve"),"20%",IF(AND(N102="Menor"),"40%",IF(AND(N102="Moderado"),"60%",IF(AND(N102="Mayor"),"80%",IF(AND(N102="Catastrófico"),"100%","")))))</f>
        <v>100%</v>
      </c>
      <c r="P102" s="474" t="str">
        <f>IF(AND(L102&lt;="40%",O102="20%"),"Bajo",IF(AND(L102="60%",O102="20%"),"Moderado",IF(AND(L102="80%",O102="20%"),"Moderado",IF(AND(L102="100%",O102="20%"),"Alto",IF(AND(L102="20%",O102="40%"),"Bajo",IF(AND(L102="40%",O102="40%"),"Moderado",IF(AND(L102="60%",O102="40%"),"Moderado",IF(AND(L102="80%",O102="40%"),"Moderado",IF(AND(L102="100%",O102="40%"),"Alto",IF(AND(L102="20%",O102="60%"),"Moderado",IF(AND(L102="40%",O102="60%"),"Moderado",IF(AND(L102="60%",O102="60%"),"Moderado",IF(AND(L102="80%",O102="60%"),"Alto",IF(AND(L102="100%",O102="60%"),"Alto",IF(AND(L102="20%",O102="80%"),"Alto",IF(AND(L102="40%",O102="80%"),"Alto",IF(AND(L102="60%",O102="80%"),"Alto",IF(AND(L102="80%",O102="80%"),"Alto",IF(AND(L102="100%",O102="80%"),"Alto",IF(AND(L102="20%",O102="100%"),"Extremo",IF(AND(L102="40%",O102="100%"),"Extremo",IF(AND(L102="60%",O102="100%"),"Extremo",IF(AND(L102="80%",O102="100%"),"Moderado",IF(AND(L102="100%",O102="100%"),"Extremo",""""))))))))))))))))))))))))</f>
        <v>Extremo</v>
      </c>
      <c r="Q102" s="110">
        <v>1</v>
      </c>
      <c r="R102" s="134" t="s">
        <v>332</v>
      </c>
      <c r="S102" s="176" t="s">
        <v>237</v>
      </c>
      <c r="T102" s="176" t="s">
        <v>152</v>
      </c>
      <c r="U102" s="176" t="s">
        <v>153</v>
      </c>
      <c r="V102" s="176" t="str">
        <f t="shared" si="22"/>
        <v>40%</v>
      </c>
      <c r="W102" s="176" t="s">
        <v>154</v>
      </c>
      <c r="X102" s="176" t="s">
        <v>155</v>
      </c>
      <c r="Y102" s="176" t="s">
        <v>156</v>
      </c>
      <c r="Z102" s="129">
        <f>IFERROR(IF(S102="Probabilidad",(L102-(+L102*V102)),IF(S102="Impacto",L102,"")),"")</f>
        <v>0.24</v>
      </c>
      <c r="AA102" s="477">
        <f>LOOKUP(2,1/(Z102:Z107&lt;&gt;""),Z102:Z107)</f>
        <v>0.14399999999999999</v>
      </c>
      <c r="AB102" s="177"/>
      <c r="AC102" s="474" t="str">
        <f>IF(AND(AA102&lt;=20%),"Muy Baja",IF(AND(AA102&gt;=21%,AA102&lt;=40%),"Baja",IF(AND(AA102&gt;=41%,AA102&lt;=60%),"Media",IF(AND(AA102&gt;=61%,AA102&lt;=80%),"Alta",IF(AND(AA102&gt;=81%,AA102&gt;=100%),"Muy Alta",FALSE)))))</f>
        <v>Muy Baja</v>
      </c>
      <c r="AD102" s="177" t="str">
        <f>IFERROR(IF(S102="Impacto",(O102-(+O102*V102)),IF(S102="Probabilidad",O102,"")),"")</f>
        <v>100%</v>
      </c>
      <c r="AE102" s="477" t="str">
        <f>LOOKUP(2,1/(AD102:AD107&lt;&gt;""),AD102:AD107)</f>
        <v>100%</v>
      </c>
      <c r="AF102" s="177"/>
      <c r="AG102" s="474" t="str">
        <f>IF(AND(AE102&lt;=20%),"Leve",IF(AND(AE102&gt;=21%,AE102&lt;=40%),"Menor",IF(AND(AE102&gt;=41%,AE102&lt;=60%),"Moderado",IF(AND(AE102&gt;=61%,AE102&lt;=80%),"Mayor",IF(AND(AE102&gt;=81%,AE102&gt;=100%),"Catastrófico",FALSE)))))</f>
        <v>Catastrófico</v>
      </c>
      <c r="AH102" s="474" t="str">
        <f>IF(OR(AND(AC102="Media",AG102="Leve"),AND(AC102="Alta",AG102="Leve"),AND(AC102="Alta",AG102="Menor"),AND(AC102="Media",AG102="Menor"),AND(AC102="Baja",AG102="Menor"),AND(AC102="Media",AG102="Moderado"),AND(AC102="Baja",AG102="Moderado"),AND(AC102="Muy Baja",AG102="Moderado")),"Moderado",IF(OR(AND(AC102="Baja",AG102="Leve"),AND(AC102="Muy Baja",AG102="Leve"),AND(AC102="Muy Baja",AG102="Menor")),"Bajo",IF(OR(AND(AC102="Muy Alta",AG102="Leve"),AND(AC102="Muy Alta",AG102="Menor"),AND(AC102="Muy Alta",AG102="Moderado"),AND(AC102="Alta",AG102="Moderado"),AND(AC102="Muy Alta",AG102="Mayor"),AND(AC102="Alta",AG102="Mayor"),AND(AC102="Media",AG102="Mayor"),AND(AC102="Baja",AG102="Mayor"),AND(AC102="Muy Baja",AG102="Mayor")),"Alto",IF(OR(AND(AC102="Alta",AG102="Catastrófico"),AND(AC102="Muy Alta",AG102="Catastrófico"),AND(AC102="Media",AG102="Catastrófico"),AND(AC102="Baja",AG102="Catastrófico"),AND(AC102="Muy Baja",AG102="Catastrófico")),"Extremo",IF(AG102="Catastrófico","Extremo")))))</f>
        <v>Extremo</v>
      </c>
      <c r="AI102" s="205" t="s">
        <v>77</v>
      </c>
      <c r="AJ102" s="176"/>
      <c r="AK102" s="176"/>
      <c r="AL102" s="112"/>
      <c r="AM102" s="176"/>
      <c r="AN102" s="176"/>
      <c r="AO102" s="176"/>
      <c r="AP102" s="496" t="s">
        <v>333</v>
      </c>
      <c r="AQ102" s="539" t="s">
        <v>113</v>
      </c>
      <c r="FM102" s="89"/>
      <c r="FQ102" s="80"/>
    </row>
    <row r="103" spans="1:181" s="78" customFormat="1" ht="14.25" customHeight="1" x14ac:dyDescent="0.25">
      <c r="A103" s="206"/>
      <c r="B103" s="110" t="s">
        <v>308</v>
      </c>
      <c r="C103" s="206"/>
      <c r="D103" s="206"/>
      <c r="E103" s="206"/>
      <c r="F103" s="206"/>
      <c r="G103" s="206"/>
      <c r="H103" s="206"/>
      <c r="I103" s="206"/>
      <c r="J103" s="206"/>
      <c r="K103" s="475"/>
      <c r="L103" s="475"/>
      <c r="M103" s="475"/>
      <c r="N103" s="475"/>
      <c r="O103" s="481"/>
      <c r="P103" s="475"/>
      <c r="Q103" s="110">
        <v>2</v>
      </c>
      <c r="R103" s="134" t="s">
        <v>334</v>
      </c>
      <c r="S103" s="176" t="s">
        <v>237</v>
      </c>
      <c r="T103" s="176" t="s">
        <v>152</v>
      </c>
      <c r="U103" s="176" t="s">
        <v>153</v>
      </c>
      <c r="V103" s="176" t="str">
        <f t="shared" si="22"/>
        <v>40%</v>
      </c>
      <c r="W103" s="176" t="s">
        <v>154</v>
      </c>
      <c r="X103" s="176" t="s">
        <v>155</v>
      </c>
      <c r="Y103" s="176" t="s">
        <v>156</v>
      </c>
      <c r="Z103" s="129">
        <f>IFERROR(IF(AND(S102="Probabilidad",S103="Probabilidad"),(Z102-(+Z102*V103)),IF(S103="Probabilidad",(L102-(+L102*V103)),IF(S103="Impacto",Z102,""))),"")</f>
        <v>0.14399999999999999</v>
      </c>
      <c r="AA103" s="478"/>
      <c r="AB103" s="177"/>
      <c r="AC103" s="475"/>
      <c r="AD103" s="177" t="str">
        <f>IFERROR(IF(AND(S102="Impacto",V103="Impacto"),(AD102-(+AD102*V103)),IF(S103="Impacto",(O102-(+O102*V103)),IF(S103="Probabilidad",AD102,""))),"")</f>
        <v>100%</v>
      </c>
      <c r="AE103" s="478"/>
      <c r="AF103" s="177"/>
      <c r="AG103" s="475"/>
      <c r="AH103" s="475"/>
      <c r="AI103" s="206"/>
      <c r="AJ103" s="176"/>
      <c r="AK103" s="176"/>
      <c r="AL103" s="112"/>
      <c r="AM103" s="112"/>
      <c r="AN103" s="176"/>
      <c r="AO103" s="176"/>
      <c r="AP103" s="497"/>
      <c r="AQ103" s="537"/>
      <c r="FM103" s="89"/>
    </row>
    <row r="104" spans="1:181" s="78" customFormat="1" ht="14.25" customHeight="1" x14ac:dyDescent="0.25">
      <c r="A104" s="206"/>
      <c r="B104" s="110" t="s">
        <v>308</v>
      </c>
      <c r="C104" s="206"/>
      <c r="D104" s="206"/>
      <c r="E104" s="206"/>
      <c r="F104" s="206"/>
      <c r="G104" s="206"/>
      <c r="H104" s="206"/>
      <c r="I104" s="206"/>
      <c r="J104" s="206"/>
      <c r="K104" s="475"/>
      <c r="L104" s="475"/>
      <c r="M104" s="475"/>
      <c r="N104" s="475"/>
      <c r="O104" s="481"/>
      <c r="P104" s="475"/>
      <c r="Q104" s="110"/>
      <c r="R104" s="134"/>
      <c r="S104" s="176"/>
      <c r="T104" s="176"/>
      <c r="U104" s="176"/>
      <c r="V104" s="176" t="str">
        <f t="shared" si="22"/>
        <v/>
      </c>
      <c r="W104" s="176"/>
      <c r="X104" s="176"/>
      <c r="Y104" s="176"/>
      <c r="Z104" s="129" t="str">
        <f>IFERROR(IF(AND(S103="Probabilidad",S104="Probabilidad"),(Z103-(+Z103*V104)),IF(S104="Probabilidad",(L103-(+L103*V104)),IF(S104="Impacto",Z103,""))),"")</f>
        <v/>
      </c>
      <c r="AA104" s="478"/>
      <c r="AB104" s="177"/>
      <c r="AC104" s="475"/>
      <c r="AD104" s="177" t="str">
        <f>IFERROR(IF(AND(S103="Impacto",V104="Impacto"),(AD103-(+AD103*V104)),IF(S104="Impacto",(O103-(+O103*V104)),IF(S104="Probabilidad",AD103,""))),"")</f>
        <v/>
      </c>
      <c r="AE104" s="478"/>
      <c r="AF104" s="177"/>
      <c r="AG104" s="475"/>
      <c r="AH104" s="475"/>
      <c r="AI104" s="206"/>
      <c r="AJ104" s="176"/>
      <c r="AK104" s="176"/>
      <c r="AL104" s="112"/>
      <c r="AM104" s="176"/>
      <c r="AN104" s="176"/>
      <c r="AO104" s="176"/>
      <c r="AP104" s="497"/>
      <c r="AQ104" s="537"/>
      <c r="FM104" s="89"/>
    </row>
    <row r="105" spans="1:181" s="78" customFormat="1" ht="14.25" customHeight="1" x14ac:dyDescent="0.25">
      <c r="A105" s="206"/>
      <c r="B105" s="110" t="s">
        <v>308</v>
      </c>
      <c r="C105" s="206"/>
      <c r="D105" s="206"/>
      <c r="E105" s="206"/>
      <c r="F105" s="206"/>
      <c r="G105" s="206"/>
      <c r="H105" s="206"/>
      <c r="I105" s="206"/>
      <c r="J105" s="206"/>
      <c r="K105" s="475"/>
      <c r="L105" s="475"/>
      <c r="M105" s="475"/>
      <c r="N105" s="475"/>
      <c r="O105" s="481"/>
      <c r="P105" s="475"/>
      <c r="Q105" s="110"/>
      <c r="R105" s="135"/>
      <c r="S105" s="176"/>
      <c r="T105" s="176"/>
      <c r="U105" s="176"/>
      <c r="V105" s="176" t="str">
        <f t="shared" si="22"/>
        <v/>
      </c>
      <c r="W105" s="176"/>
      <c r="X105" s="176"/>
      <c r="Y105" s="176"/>
      <c r="Z105" s="129" t="str">
        <f>IFERROR(IF(AND(S104="Probabilidad",S105="Probabilidad"),(Z104-(+Z104*V105)),IF(S105="Probabilidad",(L104-(+L104*V105)),IF(S105="Impacto",Z104,""))),"")</f>
        <v/>
      </c>
      <c r="AA105" s="478"/>
      <c r="AB105" s="177"/>
      <c r="AC105" s="475"/>
      <c r="AD105" s="177" t="str">
        <f>IFERROR(IF(AND(S104="Impacto",V105="Impacto"),(AD104-(+AD104*V105)),IF(S105="Impacto",(O104-(+O104*V105)),IF(S105="Probabilidad",AD104,""))),"")</f>
        <v/>
      </c>
      <c r="AE105" s="478"/>
      <c r="AF105" s="177"/>
      <c r="AG105" s="475"/>
      <c r="AH105" s="475"/>
      <c r="AI105" s="206"/>
      <c r="AJ105" s="176"/>
      <c r="AK105" s="176"/>
      <c r="AL105" s="112"/>
      <c r="AM105" s="176"/>
      <c r="AN105" s="176"/>
      <c r="AO105" s="176"/>
      <c r="AP105" s="497"/>
      <c r="AQ105" s="537"/>
      <c r="FM105" s="89"/>
    </row>
    <row r="106" spans="1:181" s="78" customFormat="1" ht="14.25" customHeight="1" x14ac:dyDescent="0.25">
      <c r="A106" s="206"/>
      <c r="B106" s="110" t="s">
        <v>308</v>
      </c>
      <c r="C106" s="206"/>
      <c r="D106" s="206"/>
      <c r="E106" s="206"/>
      <c r="F106" s="206"/>
      <c r="G106" s="206"/>
      <c r="H106" s="206"/>
      <c r="I106" s="206"/>
      <c r="J106" s="206"/>
      <c r="K106" s="475"/>
      <c r="L106" s="475"/>
      <c r="M106" s="475"/>
      <c r="N106" s="475"/>
      <c r="O106" s="481"/>
      <c r="P106" s="475"/>
      <c r="Q106" s="110"/>
      <c r="R106" s="135"/>
      <c r="S106" s="176"/>
      <c r="T106" s="176"/>
      <c r="U106" s="176"/>
      <c r="V106" s="176" t="str">
        <f t="shared" si="22"/>
        <v/>
      </c>
      <c r="W106" s="176"/>
      <c r="X106" s="176"/>
      <c r="Y106" s="176"/>
      <c r="Z106" s="129" t="str">
        <f>IFERROR(IF(AND(S105="Probabilidad",S106="Probabilidad"),(Z105-(+Z105*V106)),IF(S106="Probabilidad",(L105-(+L105*V106)),IF(S106="Impacto",Z105,""))),"")</f>
        <v/>
      </c>
      <c r="AA106" s="478"/>
      <c r="AB106" s="177"/>
      <c r="AC106" s="475"/>
      <c r="AD106" s="177" t="str">
        <f>IFERROR(IF(AND(S105="Impacto",V106="Impacto"),(AD105-(+AD105*V106)),IF(S106="Impacto",(O105-(+O105*V106)),IF(S106="Probabilidad",AD105,""))),"")</f>
        <v/>
      </c>
      <c r="AE106" s="478"/>
      <c r="AF106" s="177"/>
      <c r="AG106" s="475"/>
      <c r="AH106" s="475"/>
      <c r="AI106" s="206"/>
      <c r="AJ106" s="176"/>
      <c r="AK106" s="176"/>
      <c r="AL106" s="112"/>
      <c r="AM106" s="176"/>
      <c r="AN106" s="176"/>
      <c r="AO106" s="176"/>
      <c r="AP106" s="497"/>
      <c r="AQ106" s="537"/>
      <c r="FM106" s="89"/>
    </row>
    <row r="107" spans="1:181" s="78" customFormat="1" ht="14.25" customHeight="1" x14ac:dyDescent="0.2">
      <c r="A107" s="473"/>
      <c r="B107" s="110" t="s">
        <v>308</v>
      </c>
      <c r="C107" s="473"/>
      <c r="D107" s="473"/>
      <c r="E107" s="473"/>
      <c r="F107" s="473"/>
      <c r="G107" s="473"/>
      <c r="H107" s="473"/>
      <c r="I107" s="473"/>
      <c r="J107" s="473"/>
      <c r="K107" s="476"/>
      <c r="L107" s="476"/>
      <c r="M107" s="476"/>
      <c r="N107" s="476"/>
      <c r="O107" s="482"/>
      <c r="P107" s="476"/>
      <c r="Q107" s="110"/>
      <c r="R107" s="135"/>
      <c r="S107" s="176"/>
      <c r="T107" s="176"/>
      <c r="U107" s="176"/>
      <c r="V107" s="176" t="str">
        <f t="shared" si="22"/>
        <v/>
      </c>
      <c r="W107" s="176"/>
      <c r="X107" s="176"/>
      <c r="Y107" s="176"/>
      <c r="Z107" s="129" t="str">
        <f>IFERROR(IF(AND(S106="Probabilidad",S107="Probabilidad"),(Z106-(+Z106*V107)),IF(S107="Probabilidad",(L106-(+L106*V107)),IF(S107="Impacto",Z106,""))),"")</f>
        <v/>
      </c>
      <c r="AA107" s="479"/>
      <c r="AB107" s="177"/>
      <c r="AC107" s="476"/>
      <c r="AD107" s="177" t="str">
        <f>IFERROR(IF(AND(S106="Impacto",V107="Impacto"),(AD106-(+AD106*V107)),IF(S107="Impacto",(O106-(+O106*V107)),IF(S107="Probabilidad",AD106,""))),"")</f>
        <v/>
      </c>
      <c r="AE107" s="479"/>
      <c r="AF107" s="177"/>
      <c r="AG107" s="476"/>
      <c r="AH107" s="476"/>
      <c r="AI107" s="473"/>
      <c r="AJ107" s="176"/>
      <c r="AK107" s="176"/>
      <c r="AL107" s="112"/>
      <c r="AM107" s="176"/>
      <c r="AN107" s="176"/>
      <c r="AO107" s="176"/>
      <c r="AP107" s="498"/>
      <c r="AQ107" s="538"/>
      <c r="FM107" s="90"/>
      <c r="FN107" s="87"/>
      <c r="FO107" s="87"/>
      <c r="FQ107" s="87"/>
      <c r="FR107" s="87"/>
      <c r="FS107" s="87"/>
      <c r="FT107" s="87"/>
      <c r="FU107" s="87"/>
      <c r="FV107" s="87"/>
      <c r="FW107" s="87"/>
      <c r="FX107" s="87"/>
      <c r="FY107" s="87"/>
    </row>
    <row r="108" spans="1:181" s="78" customFormat="1" ht="13.5" customHeight="1" x14ac:dyDescent="0.25">
      <c r="A108" s="199">
        <v>20</v>
      </c>
      <c r="B108" s="128" t="s">
        <v>356</v>
      </c>
      <c r="C108" s="199" t="s">
        <v>260</v>
      </c>
      <c r="D108" s="199" t="s">
        <v>357</v>
      </c>
      <c r="E108" s="199" t="s">
        <v>358</v>
      </c>
      <c r="F108" s="199" t="s">
        <v>359</v>
      </c>
      <c r="G108" s="199" t="s">
        <v>149</v>
      </c>
      <c r="H108" s="199" t="s">
        <v>267</v>
      </c>
      <c r="I108" s="199" t="s">
        <v>83</v>
      </c>
      <c r="J108" s="202">
        <v>300</v>
      </c>
      <c r="K108" s="496" t="str">
        <f>IF(AND(J108&lt;=2),"Muy Baja",IF(AND(J108&gt;=3,J108&lt;=23),"Baja",IF(AND(J108&gt;=24,J108&lt;=499),"Media",IF(AND(J108&gt;=500,J108&lt;=4999),"Alta",IF(AND(J108&gt;=5000),"Muy Alta",FALSE)))))</f>
        <v>Media</v>
      </c>
      <c r="L108" s="496" t="str">
        <f>IF(AND(J108&lt;=2),"20%",IF(AND(J108&gt;=3,J108&lt;=23),"40%",IF(AND(J108&gt;=24,J108&lt;=499),"60%",IF(AND(J108&gt;=500,J108&lt;=4999),"80%",IF(AND(J108&gt;=5000),"100%",FALSE)))))</f>
        <v>60%</v>
      </c>
      <c r="M108" s="496" t="s">
        <v>235</v>
      </c>
      <c r="N108" s="496" t="str">
        <f>IF(AND(M108=$FQ$4),"Leve",IF(AND(M108=$FQ$5),"Menor",IF(AND(M108=$FQ$6),"Moderado",IF(AND(M108=$FQ$7),"mayor",IF(AND(M108=$FQ$8),"Catastrófico",IF(AND(M108=$FQ$10),"Leve",IF(AND(M108=$FQ$11),"Menor",IF(AND(M108=$FQ$12),"Moderado",IF(AND(M108=$FQ$13),"Mayor",IF(AND(M108=$FQ$14),"Catastrófico",FALSE))))))))))</f>
        <v>Catastrófico</v>
      </c>
      <c r="O108" s="509" t="str">
        <f>IF(AND(N108="Leve"),"20%",IF(AND(N108="Menor"),"40%",IF(AND(N108="Moderado"),"60%",IF(AND(N108="Mayor"),"80%",IF(AND(N108="Catastrófico"),"100%","")))))</f>
        <v>100%</v>
      </c>
      <c r="P108" s="496" t="str">
        <f>IF(AND(L108&lt;="40%",O108="20%"),"Bajo",IF(AND(L108="60%",O108="20%"),"Moderado",IF(AND(L108="80%",O108="20%"),"Moderado",IF(AND(L108="100%",O108="20%"),"Alto",IF(AND(L108="20%",O108="40%"),"Bajo",IF(AND(L108="40%",O108="40%"),"Moderado",IF(AND(L108="60%",O108="40%"),"Moderado",IF(AND(L108="80%",O108="40%"),"Moderado",IF(AND(L108="100%",O108="40%"),"Alto",IF(AND(L108="20%",O108="60%"),"Moderado",IF(AND(L108="40%",O108="60%"),"Moderado",IF(AND(L108="60%",O108="60%"),"Moderado",IF(AND(L108="80%",O108="60%"),"Alto",IF(AND(L108="100%",O108="60%"),"Alto",IF(AND(L108="20%",O108="80%"),"Alto",IF(AND(L108="40%",O108="80%"),"Alto",IF(AND(L108="60%",O108="80%"),"Alto",IF(AND(L108="80%",O108="80%"),"Alto",IF(AND(L108="100%",O108="80%"),"Alto",IF(AND(L108="20%",O108="100%"),"Extremo",IF(AND(L108="40%",O108="100%"),"Extremo",IF(AND(L108="60%",O108="100%"),"Extremo",IF(AND(L108="80%",O108="100%"),"Moderado",IF(AND(L108="100%",O108="100%"),"Extremo",""""))))))))))))))))))))))))</f>
        <v>Extremo</v>
      </c>
      <c r="Q108" s="130">
        <v>1</v>
      </c>
      <c r="R108" s="136" t="s">
        <v>360</v>
      </c>
      <c r="S108" s="178" t="s">
        <v>237</v>
      </c>
      <c r="T108" s="178" t="s">
        <v>152</v>
      </c>
      <c r="U108" s="178" t="s">
        <v>153</v>
      </c>
      <c r="V108" s="178" t="str">
        <f>IF(AND(T108=$FS$2,U108=$FT$2),"50%",IF(AND(T108=$FS$2,U108=$FT$3),"40%",IF(AND(T108=$FS$3,U108=$FT$2),"40%",IF(AND(T108=$FS$3,U108=$FT$3),"30%",IF(AND(T108=$FS$4,U108=$FT$2),"35%",IF(AND(T108=$FS$4,U108=$FT$3),"25%",""))))))</f>
        <v>40%</v>
      </c>
      <c r="W108" s="178" t="s">
        <v>154</v>
      </c>
      <c r="X108" s="178" t="s">
        <v>155</v>
      </c>
      <c r="Y108" s="178" t="s">
        <v>156</v>
      </c>
      <c r="Z108" s="131">
        <f>IFERROR(IF(S108="Probabilidad",(L108-(+L108*V108)),IF(S108="Impacto",L108,"")),"")</f>
        <v>0.36</v>
      </c>
      <c r="AA108" s="218">
        <f>LOOKUP(2,1/(Z108:Z113&lt;&gt;""),Z108:Z113)</f>
        <v>1.35E-2</v>
      </c>
      <c r="AB108" s="182"/>
      <c r="AC108" s="496" t="str">
        <f>IF(AND(AA108&lt;=20%),"Muy Baja",IF(AND(AA108&gt;=21%,AA108&lt;=40%),"Baja",IF(AND(AA108&gt;=41%,AA108&lt;=60%),"Media",IF(AND(AA108&gt;=61%,AA108&lt;=80%),"Alta",IF(AND(AA108&gt;=81%,AA108&gt;=100%),"Muy Alta",FALSE)))))</f>
        <v>Muy Baja</v>
      </c>
      <c r="AD108" s="182" t="str">
        <f>IFERROR(IF(S108="Impacto",(O108-(+O108*V108)),IF(S108="Probabilidad",O108,"")),"")</f>
        <v>100%</v>
      </c>
      <c r="AE108" s="218" t="str">
        <f>LOOKUP(2,1/(AD108:AD113&lt;&gt;""),AD108:AD113)</f>
        <v>100%</v>
      </c>
      <c r="AF108" s="182"/>
      <c r="AG108" s="496" t="str">
        <f>IF(AND(AE108&lt;=20%),"Leve",IF(AND(AE108&gt;=21%,AE108&lt;=40%),"Menor",IF(AND(AE108&gt;=41%,AE108&lt;=60%),"Moderado",IF(AND(AE108&gt;=61%,AE108&lt;=80%),"Mayor",IF(AND(AE108&gt;=81%,AE108&gt;=100%),"Catastrófico",FALSE)))))</f>
        <v>Catastrófico</v>
      </c>
      <c r="AH108" s="496" t="str">
        <f>IF(OR(AND(AC108="Media",AG108="Leve"),AND(AC108="Alta",AG108="Leve"),AND(AC108="Alta",AG108="Menor"),AND(AC108="Media",AG108="Menor"),AND(AC108="Baja",AG108="Menor"),AND(AC108="Media",AG108="Moderado"),AND(AC108="Baja",AG108="Moderado"),AND(AC108="Muy Baja",AG108="Moderado")),"Moderado",IF(OR(AND(AC108="Baja",AG108="Leve"),AND(AC108="Muy Baja",AG108="Leve"),AND(AC108="Muy Baja",AG108="Menor")),"Bajo",IF(OR(AND(AC108="Muy Alta",AG108="Leve"),AND(AC108="Muy Alta",AG108="Menor"),AND(AC108="Muy Alta",AG108="Moderado"),AND(AC108="Alta",AG108="Moderado"),AND(AC108="Muy Alta",AG108="Mayor"),AND(AC108="Alta",AG108="Mayor"),AND(AC108="Media",AG108="Mayor"),AND(AC108="Baja",AG108="Mayor"),AND(AC108="Muy Baja",AG108="Mayor")),"Alto",IF(OR(AND(AC108="Alta",AG108="Catastrófico"),AND(AC108="Muy Alta",AG108="Catastrófico"),AND(AC108="Media",AG108="Catastrófico"),AND(AC108="Baja",AG108="Catastrófico"),AND(AC108="Muy Baja",AG108="Catastrófico")),"Extremo",IF(AG108="Catastrófico","Extremo")))))</f>
        <v>Extremo</v>
      </c>
      <c r="AI108" s="496" t="s">
        <v>77</v>
      </c>
      <c r="AJ108" s="178"/>
      <c r="AK108" s="178"/>
      <c r="AL108" s="152"/>
      <c r="AM108" s="152"/>
      <c r="AN108" s="178"/>
      <c r="AO108" s="178"/>
      <c r="AP108" s="496" t="s">
        <v>732</v>
      </c>
      <c r="AQ108" s="539" t="s">
        <v>113</v>
      </c>
      <c r="FM108" s="89"/>
      <c r="FP108" s="78" t="s">
        <v>255</v>
      </c>
      <c r="FQ108" s="80" t="s">
        <v>256</v>
      </c>
    </row>
    <row r="109" spans="1:181" s="78" customFormat="1" ht="13.5" customHeight="1" x14ac:dyDescent="0.2">
      <c r="A109" s="200"/>
      <c r="B109" s="128" t="s">
        <v>356</v>
      </c>
      <c r="C109" s="200"/>
      <c r="D109" s="200"/>
      <c r="E109" s="200"/>
      <c r="F109" s="200"/>
      <c r="G109" s="200"/>
      <c r="H109" s="200"/>
      <c r="I109" s="200"/>
      <c r="J109" s="203"/>
      <c r="K109" s="497"/>
      <c r="L109" s="497"/>
      <c r="M109" s="497"/>
      <c r="N109" s="497"/>
      <c r="O109" s="510"/>
      <c r="P109" s="497"/>
      <c r="Q109" s="130">
        <v>2</v>
      </c>
      <c r="R109" s="137" t="s">
        <v>361</v>
      </c>
      <c r="S109" s="178" t="s">
        <v>237</v>
      </c>
      <c r="T109" s="178" t="s">
        <v>152</v>
      </c>
      <c r="U109" s="178" t="s">
        <v>153</v>
      </c>
      <c r="V109" s="178" t="str">
        <f t="shared" ref="V109:V113" si="23">IF(AND(T109=$FS$2,U109=$FT$2),"50%",IF(AND(T109=$FS$2,U109=$FT$3),"40%",IF(AND(T109=$FS$3,U109=$FT$2),"40%",IF(AND(T109=$FS$3,U109=$FT$3),"30%",IF(AND(T109=$FS$4,U109=$FT$2),"35%",IF(AND(T109=$FS$4,U109=$FT$3),"25%",""))))))</f>
        <v>40%</v>
      </c>
      <c r="W109" s="178" t="s">
        <v>154</v>
      </c>
      <c r="X109" s="178" t="s">
        <v>155</v>
      </c>
      <c r="Y109" s="178" t="s">
        <v>156</v>
      </c>
      <c r="Z109" s="131">
        <f>IFERROR(IF(AND(S108="Probabilidad",S109="Probabilidad"),(Z108-(+Z108*V109)),IF(S109="Probabilidad",(L108-(+L108*V109)),IF(S109="Impacto",Z108,""))),"")</f>
        <v>0.216</v>
      </c>
      <c r="AA109" s="219"/>
      <c r="AB109" s="182"/>
      <c r="AC109" s="497"/>
      <c r="AD109" s="182" t="str">
        <f>IFERROR(IF(AND(S108="Impacto",V109="Impacto"),(AD108-(+AD108*V109)),IF(S109="Impacto",(O108-(+O108*V109)),IF(S109="Probabilidad",AD108,""))),"")</f>
        <v>100%</v>
      </c>
      <c r="AE109" s="219"/>
      <c r="AF109" s="182"/>
      <c r="AG109" s="497"/>
      <c r="AH109" s="497"/>
      <c r="AI109" s="497"/>
      <c r="AJ109" s="178"/>
      <c r="AK109" s="178"/>
      <c r="AL109" s="152"/>
      <c r="AM109" s="178"/>
      <c r="AN109" s="178"/>
      <c r="AO109" s="178"/>
      <c r="AP109" s="497"/>
      <c r="AQ109" s="537"/>
      <c r="FM109" s="89"/>
      <c r="FP109" s="78" t="s">
        <v>196</v>
      </c>
      <c r="FQ109" s="87" t="s">
        <v>158</v>
      </c>
    </row>
    <row r="110" spans="1:181" s="78" customFormat="1" ht="13.5" customHeight="1" x14ac:dyDescent="0.2">
      <c r="A110" s="200"/>
      <c r="B110" s="128" t="s">
        <v>356</v>
      </c>
      <c r="C110" s="200"/>
      <c r="D110" s="200"/>
      <c r="E110" s="200"/>
      <c r="F110" s="200"/>
      <c r="G110" s="200"/>
      <c r="H110" s="200"/>
      <c r="I110" s="200"/>
      <c r="J110" s="203"/>
      <c r="K110" s="497"/>
      <c r="L110" s="497"/>
      <c r="M110" s="497"/>
      <c r="N110" s="497"/>
      <c r="O110" s="510"/>
      <c r="P110" s="497"/>
      <c r="Q110" s="130">
        <v>3</v>
      </c>
      <c r="R110" s="137" t="s">
        <v>362</v>
      </c>
      <c r="S110" s="178" t="s">
        <v>237</v>
      </c>
      <c r="T110" s="178" t="s">
        <v>152</v>
      </c>
      <c r="U110" s="178" t="s">
        <v>171</v>
      </c>
      <c r="V110" s="178" t="str">
        <f t="shared" si="23"/>
        <v>50%</v>
      </c>
      <c r="W110" s="178" t="s">
        <v>154</v>
      </c>
      <c r="X110" s="178" t="s">
        <v>155</v>
      </c>
      <c r="Y110" s="178" t="s">
        <v>156</v>
      </c>
      <c r="Z110" s="131">
        <f>IFERROR(IF(AND(S109="Probabilidad",S110="Probabilidad"),(Z109-(+Z109*V110)),IF(S110="Probabilidad",(L109-(+L109*V110)),IF(S110="Impacto",Z109,""))),"")</f>
        <v>0.108</v>
      </c>
      <c r="AA110" s="219"/>
      <c r="AB110" s="182"/>
      <c r="AC110" s="497"/>
      <c r="AD110" s="182" t="str">
        <f t="shared" ref="AD110:AD113" si="24">IFERROR(IF(AND(S109="Impacto",V110="Impacto"),(AD109-(+AD109*V110)),IF(S110="Impacto",(O109-(+O109*V110)),IF(S110="Probabilidad",AD109,""))),"")</f>
        <v>100%</v>
      </c>
      <c r="AE110" s="219"/>
      <c r="AF110" s="182"/>
      <c r="AG110" s="497"/>
      <c r="AH110" s="497"/>
      <c r="AI110" s="497"/>
      <c r="AJ110" s="178"/>
      <c r="AK110" s="178"/>
      <c r="AL110" s="152"/>
      <c r="AM110" s="178"/>
      <c r="AN110" s="178"/>
      <c r="AO110" s="178"/>
      <c r="AP110" s="497"/>
      <c r="AQ110" s="537"/>
      <c r="FM110" s="89"/>
      <c r="FQ110" s="87" t="s">
        <v>160</v>
      </c>
    </row>
    <row r="111" spans="1:181" s="78" customFormat="1" ht="13.5" customHeight="1" x14ac:dyDescent="0.2">
      <c r="A111" s="200"/>
      <c r="B111" s="128" t="s">
        <v>356</v>
      </c>
      <c r="C111" s="200"/>
      <c r="D111" s="200"/>
      <c r="E111" s="200"/>
      <c r="F111" s="200"/>
      <c r="G111" s="200"/>
      <c r="H111" s="200"/>
      <c r="I111" s="200"/>
      <c r="J111" s="203"/>
      <c r="K111" s="497"/>
      <c r="L111" s="497"/>
      <c r="M111" s="497"/>
      <c r="N111" s="497"/>
      <c r="O111" s="510"/>
      <c r="P111" s="497"/>
      <c r="Q111" s="130">
        <v>4</v>
      </c>
      <c r="R111" s="137" t="s">
        <v>363</v>
      </c>
      <c r="S111" s="178" t="s">
        <v>237</v>
      </c>
      <c r="T111" s="178" t="s">
        <v>152</v>
      </c>
      <c r="U111" s="178" t="s">
        <v>171</v>
      </c>
      <c r="V111" s="178" t="str">
        <f t="shared" si="23"/>
        <v>50%</v>
      </c>
      <c r="W111" s="178" t="s">
        <v>154</v>
      </c>
      <c r="X111" s="178" t="s">
        <v>155</v>
      </c>
      <c r="Y111" s="178" t="s">
        <v>156</v>
      </c>
      <c r="Z111" s="131">
        <f>IFERROR(IF(AND(S110="Probabilidad",S111="Probabilidad"),(Z110-(+Z110*V111)),IF(S111="Probabilidad",(L110-(+L110*V111)),IF(S111="Impacto",Z110,""))),"")</f>
        <v>5.3999999999999999E-2</v>
      </c>
      <c r="AA111" s="219"/>
      <c r="AB111" s="182"/>
      <c r="AC111" s="497"/>
      <c r="AD111" s="182" t="str">
        <f t="shared" si="24"/>
        <v>100%</v>
      </c>
      <c r="AE111" s="219"/>
      <c r="AF111" s="182"/>
      <c r="AG111" s="497"/>
      <c r="AH111" s="497"/>
      <c r="AI111" s="497"/>
      <c r="AJ111" s="178"/>
      <c r="AK111" s="178"/>
      <c r="AL111" s="152"/>
      <c r="AM111" s="178"/>
      <c r="AN111" s="178"/>
      <c r="AO111" s="178"/>
      <c r="AP111" s="497"/>
      <c r="AQ111" s="537"/>
      <c r="FM111" s="89"/>
      <c r="FQ111" s="87" t="s">
        <v>162</v>
      </c>
    </row>
    <row r="112" spans="1:181" s="78" customFormat="1" ht="13.5" customHeight="1" x14ac:dyDescent="0.2">
      <c r="A112" s="200"/>
      <c r="B112" s="128" t="s">
        <v>356</v>
      </c>
      <c r="C112" s="200"/>
      <c r="D112" s="200"/>
      <c r="E112" s="200"/>
      <c r="F112" s="200"/>
      <c r="G112" s="200"/>
      <c r="H112" s="200"/>
      <c r="I112" s="200"/>
      <c r="J112" s="203"/>
      <c r="K112" s="497"/>
      <c r="L112" s="497"/>
      <c r="M112" s="497"/>
      <c r="N112" s="497"/>
      <c r="O112" s="510"/>
      <c r="P112" s="497"/>
      <c r="Q112" s="130">
        <v>5</v>
      </c>
      <c r="R112" s="137" t="s">
        <v>364</v>
      </c>
      <c r="S112" s="178" t="s">
        <v>237</v>
      </c>
      <c r="T112" s="178" t="s">
        <v>152</v>
      </c>
      <c r="U112" s="178" t="s">
        <v>171</v>
      </c>
      <c r="V112" s="178" t="str">
        <f t="shared" si="23"/>
        <v>50%</v>
      </c>
      <c r="W112" s="178" t="s">
        <v>154</v>
      </c>
      <c r="X112" s="178" t="s">
        <v>155</v>
      </c>
      <c r="Y112" s="178" t="s">
        <v>156</v>
      </c>
      <c r="Z112" s="131">
        <f>IFERROR(IF(AND(S111="Probabilidad",S112="Probabilidad"),(Z111-(+Z111*V112)),IF(S112="Probabilidad",(L111-(+L111*V112)),IF(S112="Impacto",Z111,""))),"")</f>
        <v>2.7E-2</v>
      </c>
      <c r="AA112" s="219"/>
      <c r="AB112" s="182"/>
      <c r="AC112" s="497"/>
      <c r="AD112" s="182" t="str">
        <f t="shared" si="24"/>
        <v>100%</v>
      </c>
      <c r="AE112" s="219"/>
      <c r="AF112" s="182"/>
      <c r="AG112" s="497"/>
      <c r="AH112" s="497"/>
      <c r="AI112" s="497"/>
      <c r="AJ112" s="178"/>
      <c r="AK112" s="178"/>
      <c r="AL112" s="152"/>
      <c r="AM112" s="178"/>
      <c r="AN112" s="178"/>
      <c r="AO112" s="178"/>
      <c r="AP112" s="497"/>
      <c r="AQ112" s="537"/>
      <c r="FM112" s="89"/>
      <c r="FQ112" s="87" t="s">
        <v>257</v>
      </c>
    </row>
    <row r="113" spans="1:173" s="78" customFormat="1" ht="13.5" customHeight="1" x14ac:dyDescent="0.2">
      <c r="A113" s="201"/>
      <c r="B113" s="128" t="s">
        <v>356</v>
      </c>
      <c r="C113" s="201"/>
      <c r="D113" s="201"/>
      <c r="E113" s="201"/>
      <c r="F113" s="201"/>
      <c r="G113" s="201"/>
      <c r="H113" s="201"/>
      <c r="I113" s="201"/>
      <c r="J113" s="204"/>
      <c r="K113" s="498"/>
      <c r="L113" s="498"/>
      <c r="M113" s="498"/>
      <c r="N113" s="498"/>
      <c r="O113" s="511"/>
      <c r="P113" s="498"/>
      <c r="Q113" s="130">
        <v>6</v>
      </c>
      <c r="R113" s="137" t="s">
        <v>757</v>
      </c>
      <c r="S113" s="178" t="s">
        <v>237</v>
      </c>
      <c r="T113" s="178" t="s">
        <v>152</v>
      </c>
      <c r="U113" s="178" t="s">
        <v>171</v>
      </c>
      <c r="V113" s="178" t="str">
        <f t="shared" si="23"/>
        <v>50%</v>
      </c>
      <c r="W113" s="178" t="s">
        <v>154</v>
      </c>
      <c r="X113" s="178" t="s">
        <v>155</v>
      </c>
      <c r="Y113" s="178" t="s">
        <v>156</v>
      </c>
      <c r="Z113" s="131">
        <f>IFERROR(IF(AND(S112="Probabilidad",S113="Probabilidad"),(Z112-(+Z112*V113)),IF(S113="Probabilidad",(L112-(+L112*V113)),IF(S113="Impacto",Z112,""))),"")</f>
        <v>1.35E-2</v>
      </c>
      <c r="AA113" s="220"/>
      <c r="AB113" s="182"/>
      <c r="AC113" s="498"/>
      <c r="AD113" s="182" t="str">
        <f t="shared" si="24"/>
        <v>100%</v>
      </c>
      <c r="AE113" s="220"/>
      <c r="AF113" s="182"/>
      <c r="AG113" s="498"/>
      <c r="AH113" s="498"/>
      <c r="AI113" s="498"/>
      <c r="AJ113" s="178"/>
      <c r="AK113" s="178"/>
      <c r="AL113" s="152"/>
      <c r="AM113" s="178"/>
      <c r="AN113" s="178"/>
      <c r="AO113" s="178"/>
      <c r="AP113" s="498"/>
      <c r="AQ113" s="538"/>
      <c r="FM113" s="89"/>
      <c r="FQ113" s="87" t="s">
        <v>170</v>
      </c>
    </row>
    <row r="114" spans="1:173" s="78" customFormat="1" ht="13.5" customHeight="1" x14ac:dyDescent="0.25">
      <c r="A114" s="199">
        <v>21</v>
      </c>
      <c r="B114" s="128" t="s">
        <v>356</v>
      </c>
      <c r="C114" s="199" t="s">
        <v>233</v>
      </c>
      <c r="D114" s="199" t="s">
        <v>365</v>
      </c>
      <c r="E114" s="199" t="s">
        <v>366</v>
      </c>
      <c r="F114" s="199" t="s">
        <v>367</v>
      </c>
      <c r="G114" s="199" t="s">
        <v>149</v>
      </c>
      <c r="H114" s="199" t="s">
        <v>267</v>
      </c>
      <c r="I114" s="199" t="s">
        <v>83</v>
      </c>
      <c r="J114" s="202">
        <v>81</v>
      </c>
      <c r="K114" s="496" t="str">
        <f>IF(AND(J114&lt;=2),"Muy Baja",IF(AND(J114&gt;=3,J114&lt;=23),"Baja",IF(AND(J114&gt;=24,J114&lt;=499),"Media",IF(AND(J114&gt;=500,J114&lt;=4999),"Alta",IF(AND(J114&gt;=5000),"Muy Alta",FALSE)))))</f>
        <v>Media</v>
      </c>
      <c r="L114" s="496" t="str">
        <f>IF(AND(J114&lt;=2),"20%",IF(AND(J114&gt;=3,J114&lt;=23),"40%",IF(AND(J114&gt;=24,J114&lt;=499),"60%",IF(AND(J114&gt;=500,J114&lt;=4999),"80%",IF(AND(J114&gt;=5000),"100%",FALSE)))))</f>
        <v>60%</v>
      </c>
      <c r="M114" s="496" t="s">
        <v>160</v>
      </c>
      <c r="N114" s="496" t="str">
        <f>IF(AND(M114=$FQ$4),"Leve",IF(AND(M114=$FQ$5),"Menor",IF(AND(M114=$FQ$6),"Moderado",IF(AND(M114=$FQ$7),"mayor",IF(AND(M114=$FQ$8),"Catastrófico",IF(AND(M114=$FQ$10),"Leve",IF(AND(M114=$FQ$11),"Menor",IF(AND(M114=$FQ$12),"Moderado",IF(AND(M114=$FQ$13),"Mayor",IF(AND(M114=$FQ$14),"Catastrófico",FALSE))))))))))</f>
        <v>Menor</v>
      </c>
      <c r="O114" s="509" t="str">
        <f>IF(AND(N114="Leve"),"20%",IF(AND(N114="Menor"),"40%",IF(AND(N114="Moderado"),"60%",IF(AND(N114="Mayor"),"80%",IF(AND(N114="Catastrófico"),"100%","")))))</f>
        <v>40%</v>
      </c>
      <c r="P114" s="496" t="str">
        <f>IF(AND(L114&lt;="40%",O114="20%"),"Bajo",IF(AND(L114="60%",O114="20%"),"Moderado",IF(AND(L114="80%",O114="20%"),"Moderado",IF(AND(L114="100%",O114="20%"),"Alto",IF(AND(L114="20%",O114="40%"),"Bajo",IF(AND(L114="40%",O114="40%"),"Moderado",IF(AND(L114="60%",O114="40%"),"Moderado",IF(AND(L114="80%",O114="40%"),"Moderado",IF(AND(L114="100%",O114="40%"),"Alto",IF(AND(L114="20%",O114="60%"),"Moderado",IF(AND(L114="40%",O114="60%"),"Moderado",IF(AND(L114="60%",O114="60%"),"Moderado",IF(AND(L114="80%",O114="60%"),"Alto",IF(AND(L114="100%",O114="60%"),"Alto",IF(AND(L114="20%",O114="80%"),"Alto",IF(AND(L114="40%",O114="80%"),"Alto",IF(AND(L114="60%",O114="80%"),"Alto",IF(AND(L114="80%",O114="80%"),"Alto",IF(AND(L114="100%",O114="80%"),"Alto",IF(AND(L114="20%",O114="100%"),"Extremo",IF(AND(L114="40%",O114="100%"),"Extremo",IF(AND(L114="60%",O114="100%"),"Extremo",IF(AND(L114="80%",O114="100%"),"Moderado",IF(AND(L114="100%",O114="100%"),"Extremo",""""))))))))))))))))))))))))</f>
        <v>Moderado</v>
      </c>
      <c r="Q114" s="130">
        <v>1</v>
      </c>
      <c r="R114" s="138" t="s">
        <v>758</v>
      </c>
      <c r="S114" s="178" t="s">
        <v>237</v>
      </c>
      <c r="T114" s="178" t="s">
        <v>152</v>
      </c>
      <c r="U114" s="178" t="s">
        <v>153</v>
      </c>
      <c r="V114" s="178" t="str">
        <f>IF(AND(T114=$FS$2,U114=$FT$2),"50%",IF(AND(T114=$FS$2,U114=$FT$3),"40%",IF(AND(T114=$FS$3,U114=$FT$2),"40%",IF(AND(T114=$FS$3,U114=$FT$3),"30%",IF(AND(T114=$FS$4,U114=$FT$2),"35%",IF(AND(T114=$FS$4,U114=$FT$3),"25%",""))))))</f>
        <v>40%</v>
      </c>
      <c r="W114" s="178" t="s">
        <v>154</v>
      </c>
      <c r="X114" s="178" t="s">
        <v>155</v>
      </c>
      <c r="Y114" s="178" t="s">
        <v>156</v>
      </c>
      <c r="Z114" s="131">
        <f>IFERROR(IF(S114="Probabilidad",(L114-(+L114*V114)),IF(S114="Impacto",L114,"")),"")</f>
        <v>0.36</v>
      </c>
      <c r="AA114" s="218">
        <f>LOOKUP(2,1/(Z114:Z119&lt;&gt;""),Z114:Z119)</f>
        <v>0.36</v>
      </c>
      <c r="AB114" s="182"/>
      <c r="AC114" s="496" t="str">
        <f>IF(AND(AA114&lt;=20%),"Muy Baja",IF(AND(AA114&gt;=21%,AA114&lt;=40%),"Baja",IF(AND(AA114&gt;=41%,AA114&lt;=60%),"Media",IF(AND(AA114&gt;=61%,AA114&lt;=80%),"Alta",IF(AND(AA114&gt;=81%,AA114&gt;=100%),"Muy Alta",FALSE)))))</f>
        <v>Baja</v>
      </c>
      <c r="AD114" s="182" t="str">
        <f>IFERROR(IF(S114="Impacto",(O114-(+O114*V114)),IF(S114="Probabilidad",O114,"")),"")</f>
        <v>40%</v>
      </c>
      <c r="AE114" s="218" t="str">
        <f>LOOKUP(2,1/(AD114:AD119&lt;&gt;""),AD114:AD119)</f>
        <v>40%</v>
      </c>
      <c r="AF114" s="182"/>
      <c r="AG114" s="496" t="str">
        <f>IF(AND(AE114&lt;=20%),"Leve",IF(AND(AE114&gt;="21%",AE114&lt;="40%"),"Menor",IF(AND(AE114&gt;=41%,AE114&lt;=60%),"Moderado",IF(AND(AE114&gt;=61%,AE114&lt;=80%),"Mayor",IF(AND(AE114&gt;="81%",AE114&lt;="100%"),"Catastrófico",FALSE)))))</f>
        <v>Menor</v>
      </c>
      <c r="AH114" s="496" t="str">
        <f>IF(OR(AND(AC114="Media",AG114="Leve"),AND(AC114="Alta",AG114="Leve"),AND(AC114="Alta",AG114="Menor"),AND(AC114="Media",AG114="Menor"),AND(AC114="Baja",AG114="Menor"),AND(AC114="Media",AG114="Moderado"),AND(AC114="Baja",AG114="Moderado"),AND(AC114="Muy Baja",AG114="Moderado")),"Moderado",IF(OR(AND(AC114="Baja",AG114="Leve"),AND(AC114="Muy Baja",AG114="Leve"),AND(AC114="Muy Baja",AG114="Menor")),"Bajo",IF(OR(AND(AC114="Muy Alta",AG114="Leve"),AND(AC114="Muy Alta",AG114="Menor"),AND(AC114="Muy Alta",AG114="Moderado"),AND(AC114="Alta",AG114="Moderado"),AND(AC114="Muy Alta",AG114="Mayor"),AND(AC114="Alta",AG114="Mayor"),AND(AC114="Media",AG114="Mayor"),AND(AC114="Baja",AG114="Mayor"),AND(AC114="Muy Baja",AG114="Mayor")),"Alto",IF(OR(AND(AC114="Alta",AG114="Catastrófico"),AND(AC114="Muy Alta",AG114="Catastrófico"),AND(AC114="Media",AG114="Catastrófico"),AND(AC114="Baja",AG114="Catastrófico"),AND(AC114="Muy Baja",AG114="Catastrófico")),"Extremo",IF(AG114="Catastrófico","Extremo")))))</f>
        <v>Moderado</v>
      </c>
      <c r="AI114" s="496" t="s">
        <v>111</v>
      </c>
      <c r="AJ114" s="178"/>
      <c r="AK114" s="178"/>
      <c r="AL114" s="152"/>
      <c r="AM114" s="178"/>
      <c r="AN114" s="178"/>
      <c r="AO114" s="178"/>
      <c r="AP114" s="496" t="s">
        <v>368</v>
      </c>
      <c r="AQ114" s="539" t="s">
        <v>113</v>
      </c>
      <c r="FM114" s="89"/>
      <c r="FQ114" s="80"/>
    </row>
    <row r="115" spans="1:173" s="78" customFormat="1" ht="13.5" customHeight="1" x14ac:dyDescent="0.25">
      <c r="A115" s="200"/>
      <c r="B115" s="128" t="s">
        <v>356</v>
      </c>
      <c r="C115" s="200"/>
      <c r="D115" s="200"/>
      <c r="E115" s="200"/>
      <c r="F115" s="200"/>
      <c r="G115" s="200"/>
      <c r="H115" s="200"/>
      <c r="I115" s="200"/>
      <c r="J115" s="203"/>
      <c r="K115" s="497"/>
      <c r="L115" s="497"/>
      <c r="M115" s="497"/>
      <c r="N115" s="497"/>
      <c r="O115" s="510"/>
      <c r="P115" s="497"/>
      <c r="Q115" s="130"/>
      <c r="R115" s="133"/>
      <c r="S115" s="178"/>
      <c r="T115" s="178"/>
      <c r="U115" s="178"/>
      <c r="V115" s="178" t="str">
        <f t="shared" ref="V115:V119" si="25">IF(AND(T115=$FS$2,U115=$FT$2),"50%",IF(AND(T115=$FS$2,U115=$FT$3),"40%",IF(AND(T115=$FS$3,U115=$FT$2),"40%",IF(AND(T115=$FS$3,U115=$FT$3),"30%",IF(AND(T115=$FS$4,U115=$FT$2),"35%",IF(AND(T115=$FS$4,U115=$FT$3),"25%",""))))))</f>
        <v/>
      </c>
      <c r="W115" s="178"/>
      <c r="X115" s="178"/>
      <c r="Y115" s="178"/>
      <c r="Z115" s="131" t="str">
        <f>IFERROR(IF(AND(S114="Probabilidad",S115="Probabilidad"),(Z114-(+Z114*V115)),IF(S115="Probabilidad",(L114-(+L114*V115)),IF(S115="Impacto",Z114,""))),"")</f>
        <v/>
      </c>
      <c r="AA115" s="219"/>
      <c r="AB115" s="182"/>
      <c r="AC115" s="497"/>
      <c r="AD115" s="182" t="str">
        <f>IFERROR(IF(AND(S114="Impacto",V115="Impacto"),(AD114-(+AD114*V115)),IF(S115="Impacto",(O114-(+O114*V115)),IF(S115="Probabilidad",AD114,""))),"")</f>
        <v/>
      </c>
      <c r="AE115" s="219"/>
      <c r="AF115" s="182"/>
      <c r="AG115" s="497"/>
      <c r="AH115" s="497"/>
      <c r="AI115" s="497"/>
      <c r="AJ115" s="178"/>
      <c r="AK115" s="178"/>
      <c r="AL115" s="152"/>
      <c r="AM115" s="178"/>
      <c r="AN115" s="178"/>
      <c r="AO115" s="178"/>
      <c r="AP115" s="497"/>
      <c r="AQ115" s="537"/>
      <c r="FM115" s="89"/>
    </row>
    <row r="116" spans="1:173" s="78" customFormat="1" ht="13.5" customHeight="1" x14ac:dyDescent="0.25">
      <c r="A116" s="200"/>
      <c r="B116" s="128" t="s">
        <v>356</v>
      </c>
      <c r="C116" s="200"/>
      <c r="D116" s="200"/>
      <c r="E116" s="200"/>
      <c r="F116" s="200"/>
      <c r="G116" s="200"/>
      <c r="H116" s="200"/>
      <c r="I116" s="200"/>
      <c r="J116" s="203"/>
      <c r="K116" s="497"/>
      <c r="L116" s="497"/>
      <c r="M116" s="497"/>
      <c r="N116" s="497"/>
      <c r="O116" s="510"/>
      <c r="P116" s="497"/>
      <c r="Q116" s="130"/>
      <c r="R116" s="133"/>
      <c r="S116" s="178"/>
      <c r="T116" s="178"/>
      <c r="U116" s="178"/>
      <c r="V116" s="178" t="str">
        <f t="shared" si="25"/>
        <v/>
      </c>
      <c r="W116" s="178"/>
      <c r="X116" s="178"/>
      <c r="Y116" s="178"/>
      <c r="Z116" s="131" t="str">
        <f>IFERROR(IF(AND(S115="Probabilidad",S116="Probabilidad"),(Z115-(+Z115*V116)),IF(S116="Probabilidad",(L115-(+L115*V116)),IF(S116="Impacto",Z115,""))),"")</f>
        <v/>
      </c>
      <c r="AA116" s="219"/>
      <c r="AB116" s="182"/>
      <c r="AC116" s="497"/>
      <c r="AD116" s="182" t="str">
        <f t="shared" ref="AD116:AD119" si="26">IFERROR(IF(AND(S115="Impacto",V116="Impacto"),(AD115-(+AD115*V116)),IF(S116="Impacto",(O115-(+O115*V116)),IF(S116="Probabilidad",AD115,""))),"")</f>
        <v/>
      </c>
      <c r="AE116" s="219"/>
      <c r="AF116" s="182"/>
      <c r="AG116" s="497"/>
      <c r="AH116" s="497"/>
      <c r="AI116" s="497"/>
      <c r="AJ116" s="178"/>
      <c r="AK116" s="178"/>
      <c r="AL116" s="152"/>
      <c r="AM116" s="178"/>
      <c r="AN116" s="178"/>
      <c r="AO116" s="178"/>
      <c r="AP116" s="497"/>
      <c r="AQ116" s="537"/>
      <c r="FM116" s="89"/>
    </row>
    <row r="117" spans="1:173" s="78" customFormat="1" ht="13.5" customHeight="1" x14ac:dyDescent="0.25">
      <c r="A117" s="200"/>
      <c r="B117" s="128" t="s">
        <v>356</v>
      </c>
      <c r="C117" s="200"/>
      <c r="D117" s="200"/>
      <c r="E117" s="200"/>
      <c r="F117" s="200"/>
      <c r="G117" s="200"/>
      <c r="H117" s="200"/>
      <c r="I117" s="200"/>
      <c r="J117" s="203"/>
      <c r="K117" s="497"/>
      <c r="L117" s="497"/>
      <c r="M117" s="497"/>
      <c r="N117" s="497"/>
      <c r="O117" s="510"/>
      <c r="P117" s="497"/>
      <c r="Q117" s="130"/>
      <c r="R117" s="133"/>
      <c r="S117" s="178"/>
      <c r="T117" s="178"/>
      <c r="U117" s="178"/>
      <c r="V117" s="178" t="str">
        <f t="shared" si="25"/>
        <v/>
      </c>
      <c r="W117" s="178"/>
      <c r="X117" s="178"/>
      <c r="Y117" s="178"/>
      <c r="Z117" s="131" t="str">
        <f>IFERROR(IF(AND(S116="Probabilidad",S117="Probabilidad"),(Z116-(+Z116*V117)),IF(S117="Probabilidad",(L116-(+L116*V117)),IF(S117="Impacto",Z116,""))),"")</f>
        <v/>
      </c>
      <c r="AA117" s="219"/>
      <c r="AB117" s="182"/>
      <c r="AC117" s="497"/>
      <c r="AD117" s="182" t="str">
        <f t="shared" si="26"/>
        <v/>
      </c>
      <c r="AE117" s="219"/>
      <c r="AF117" s="182"/>
      <c r="AG117" s="497"/>
      <c r="AH117" s="497"/>
      <c r="AI117" s="497"/>
      <c r="AJ117" s="178"/>
      <c r="AK117" s="178"/>
      <c r="AL117" s="152"/>
      <c r="AM117" s="178"/>
      <c r="AN117" s="178"/>
      <c r="AO117" s="178"/>
      <c r="AP117" s="497"/>
      <c r="AQ117" s="537"/>
      <c r="FM117" s="89"/>
    </row>
    <row r="118" spans="1:173" s="78" customFormat="1" ht="13.5" customHeight="1" x14ac:dyDescent="0.25">
      <c r="A118" s="200"/>
      <c r="B118" s="128" t="s">
        <v>356</v>
      </c>
      <c r="C118" s="200"/>
      <c r="D118" s="200"/>
      <c r="E118" s="200"/>
      <c r="F118" s="200"/>
      <c r="G118" s="200"/>
      <c r="H118" s="200"/>
      <c r="I118" s="200"/>
      <c r="J118" s="203"/>
      <c r="K118" s="497"/>
      <c r="L118" s="497"/>
      <c r="M118" s="497"/>
      <c r="N118" s="497"/>
      <c r="O118" s="510"/>
      <c r="P118" s="497"/>
      <c r="Q118" s="130"/>
      <c r="R118" s="133"/>
      <c r="S118" s="178"/>
      <c r="T118" s="178"/>
      <c r="U118" s="178"/>
      <c r="V118" s="178" t="str">
        <f t="shared" si="25"/>
        <v/>
      </c>
      <c r="W118" s="178"/>
      <c r="X118" s="178"/>
      <c r="Y118" s="178"/>
      <c r="Z118" s="131" t="str">
        <f>IFERROR(IF(AND(S117="Probabilidad",S118="Probabilidad"),(Z117-(+Z117*V118)),IF(S118="Probabilidad",(L117-(+L117*V118)),IF(S118="Impacto",Z117,""))),"")</f>
        <v/>
      </c>
      <c r="AA118" s="219"/>
      <c r="AB118" s="182"/>
      <c r="AC118" s="497"/>
      <c r="AD118" s="182" t="str">
        <f t="shared" si="26"/>
        <v/>
      </c>
      <c r="AE118" s="219"/>
      <c r="AF118" s="182"/>
      <c r="AG118" s="497"/>
      <c r="AH118" s="497"/>
      <c r="AI118" s="497"/>
      <c r="AJ118" s="178"/>
      <c r="AK118" s="178"/>
      <c r="AL118" s="152"/>
      <c r="AM118" s="178"/>
      <c r="AN118" s="178"/>
      <c r="AO118" s="178"/>
      <c r="AP118" s="497"/>
      <c r="AQ118" s="537"/>
      <c r="FM118" s="89"/>
    </row>
    <row r="119" spans="1:173" s="78" customFormat="1" ht="13.5" customHeight="1" x14ac:dyDescent="0.25">
      <c r="A119" s="201"/>
      <c r="B119" s="128" t="s">
        <v>356</v>
      </c>
      <c r="C119" s="201"/>
      <c r="D119" s="201"/>
      <c r="E119" s="201"/>
      <c r="F119" s="201"/>
      <c r="G119" s="201"/>
      <c r="H119" s="201"/>
      <c r="I119" s="201"/>
      <c r="J119" s="204"/>
      <c r="K119" s="498"/>
      <c r="L119" s="498"/>
      <c r="M119" s="498"/>
      <c r="N119" s="498"/>
      <c r="O119" s="511"/>
      <c r="P119" s="498"/>
      <c r="Q119" s="130"/>
      <c r="R119" s="133"/>
      <c r="S119" s="178"/>
      <c r="T119" s="178"/>
      <c r="U119" s="178"/>
      <c r="V119" s="178" t="str">
        <f t="shared" si="25"/>
        <v/>
      </c>
      <c r="W119" s="178"/>
      <c r="X119" s="178"/>
      <c r="Y119" s="178"/>
      <c r="Z119" s="131" t="str">
        <f>IFERROR(IF(AND(S118="Probabilidad",S119="Probabilidad"),(Z118-(+Z118*V119)),IF(S119="Probabilidad",(L118-(+L118*V119)),IF(S119="Impacto",Z118,""))),"")</f>
        <v/>
      </c>
      <c r="AA119" s="220"/>
      <c r="AB119" s="182"/>
      <c r="AC119" s="498"/>
      <c r="AD119" s="182" t="str">
        <f t="shared" si="26"/>
        <v/>
      </c>
      <c r="AE119" s="220"/>
      <c r="AF119" s="182"/>
      <c r="AG119" s="498"/>
      <c r="AH119" s="498"/>
      <c r="AI119" s="498"/>
      <c r="AJ119" s="178"/>
      <c r="AK119" s="178"/>
      <c r="AL119" s="152"/>
      <c r="AM119" s="178"/>
      <c r="AN119" s="178"/>
      <c r="AO119" s="178"/>
      <c r="AP119" s="498"/>
      <c r="AQ119" s="538"/>
      <c r="FM119" s="89"/>
      <c r="FQ119" s="79"/>
    </row>
    <row r="120" spans="1:173" s="78" customFormat="1" ht="13.5" customHeight="1" x14ac:dyDescent="0.25">
      <c r="A120" s="199">
        <v>22</v>
      </c>
      <c r="B120" s="128" t="s">
        <v>356</v>
      </c>
      <c r="C120" s="199" t="s">
        <v>248</v>
      </c>
      <c r="D120" s="199" t="s">
        <v>369</v>
      </c>
      <c r="E120" s="199" t="s">
        <v>370</v>
      </c>
      <c r="F120" s="199" t="s">
        <v>371</v>
      </c>
      <c r="G120" s="199" t="s">
        <v>265</v>
      </c>
      <c r="H120" s="199" t="s">
        <v>255</v>
      </c>
      <c r="I120" s="209" t="s">
        <v>372</v>
      </c>
      <c r="J120" s="202">
        <f>(40*4)*12</f>
        <v>1920</v>
      </c>
      <c r="K120" s="496" t="str">
        <f>IF(AND(J120&lt;=2),"Muy Baja",IF(AND(J120&gt;=3,J120&lt;=23),"Baja",IF(AND(J120&gt;=24,J120&lt;=499),"Media",IF(AND(J120&gt;=500,J120&lt;=4999),"Alta",IF(AND(J120&gt;=5000),"Muy Alta",FALSE)))))</f>
        <v>Alta</v>
      </c>
      <c r="L120" s="496" t="str">
        <f>IF(AND(J120&lt;=2),"20%",IF(AND(J120&gt;=3,J120&lt;=23),"40%",IF(AND(J120&gt;=24,J120&lt;=499),"60%",IF(AND(J120&gt;=500,J120&lt;=4999),"80%",IF(AND(J120&gt;=5000),"100%",FALSE)))))</f>
        <v>80%</v>
      </c>
      <c r="M120" s="496" t="s">
        <v>160</v>
      </c>
      <c r="N120" s="496" t="str">
        <f>IF(AND(M120=$FQ$4),"Leve",IF(AND(M120=$FQ$5),"Menor",IF(AND(M120=$FQ$6),"Moderado",IF(AND(M120=$FQ$7),"mayor",IF(AND(M120=$FQ$8),"Catastrófico",IF(AND(M120=$FQ$10),"Leve",IF(AND(M120=$FQ$11),"Menor",IF(AND(M120=$FQ$12),"Moderado",IF(AND(M120=$FQ$13),"Mayor",IF(AND(M120=$FQ$14),"Catastrófico",FALSE))))))))))</f>
        <v>Menor</v>
      </c>
      <c r="O120" s="509" t="str">
        <f>IF(AND(N120="Leve"),"20%",IF(AND(N120="Menor"),"40%",IF(AND(N120="Moderado"),"60%",IF(AND(N120="Mayor"),"80%",IF(AND(N120="Catastrófico"),"100%","")))))</f>
        <v>40%</v>
      </c>
      <c r="P120" s="496" t="str">
        <f>IF(AND(L120&lt;="40%",O120="20%"),"Bajo",IF(AND(L120="60%",O120="20%"),"Moderado",IF(AND(L120="80%",O120="20%"),"Moderado",IF(AND(L120="100%",O120="20%"),"Alto",IF(AND(L120="20%",O120="40%"),"Bajo",IF(AND(L120="40%",O120="40%"),"Moderado",IF(AND(L120="60%",O120="40%"),"Moderado",IF(AND(L120="80%",O120="40%"),"Moderado",IF(AND(L120="100%",O120="40%"),"Alto",IF(AND(L120="20%",O120="60%"),"Moderado",IF(AND(L120="40%",O120="60%"),"Moderado",IF(AND(L120="60%",O120="60%"),"Moderado",IF(AND(L120="80%",O120="60%"),"Alto",IF(AND(L120="100%",O120="60%"),"Alto",IF(AND(L120="20%",O120="80%"),"Alto",IF(AND(L120="40%",O120="80%"),"Alto",IF(AND(L120="60%",O120="80%"),"Alto",IF(AND(L120="80%",O120="80%"),"Alto",IF(AND(L120="100%",O120="80%"),"Alto",IF(AND(L120="20%",O120="100%"),"Extremo",IF(AND(L120="40%",O120="100%"),"Extremo",IF(AND(L120="60%",O120="100%"),"Extremo",IF(AND(L120="80%",O120="100%"),"Moderado",IF(AND(L120="100%",O120="100%"),"Extremo",""""))))))))))))))))))))))))</f>
        <v>Moderado</v>
      </c>
      <c r="Q120" s="130">
        <v>1</v>
      </c>
      <c r="R120" s="138" t="s">
        <v>373</v>
      </c>
      <c r="S120" s="178" t="s">
        <v>237</v>
      </c>
      <c r="T120" s="178" t="s">
        <v>152</v>
      </c>
      <c r="U120" s="178" t="s">
        <v>153</v>
      </c>
      <c r="V120" s="178" t="str">
        <f>IF(AND(T120=$FS$2,U120=$FT$2),"50%",IF(AND(T120=$FS$2,U120=$FT$3),"40%",IF(AND(T120=$FS$3,U120=$FT$2),"40%",IF(AND(T120=$FS$3,U120=$FT$3),"30%",IF(AND(T120=$FS$4,U120=$FT$2),"35%",IF(AND(T120=$FS$4,U120=$FT$3),"25%",""))))))</f>
        <v>40%</v>
      </c>
      <c r="W120" s="178" t="s">
        <v>161</v>
      </c>
      <c r="X120" s="178" t="s">
        <v>155</v>
      </c>
      <c r="Y120" s="178" t="s">
        <v>156</v>
      </c>
      <c r="Z120" s="131">
        <f>IFERROR(IF(S120="Probabilidad",(L120-(+L120*V120)),IF(S120="Impacto",L120,"")),"")</f>
        <v>0.48</v>
      </c>
      <c r="AA120" s="218">
        <f>LOOKUP(2,1/(Z120:Z125&lt;&gt;""),Z120:Z125)</f>
        <v>0.48</v>
      </c>
      <c r="AB120" s="182"/>
      <c r="AC120" s="496" t="str">
        <f>IF(AND(AA120&lt;=20%),"Muy Baja",IF(AND(AA120&gt;=21%,AA120&lt;=40%),"Baja",IF(AND(AA120&gt;=41%,AA120&lt;=60%),"Media",IF(AND(AA120&gt;=61%,AA120&lt;=80%),"Alta",IF(AND(AA120&gt;=81%,AA120&gt;=100%),"Muy Alta",FALSE)))))</f>
        <v>Media</v>
      </c>
      <c r="AD120" s="182" t="str">
        <f>IFERROR(IF(S120="Impacto",(O120-(+O120*V120)),IF(S120="Probabilidad",O120,"")),"")</f>
        <v>40%</v>
      </c>
      <c r="AE120" s="218" t="str">
        <f>LOOKUP(2,1/(AD120:AD125&lt;&gt;""),AD120:AD125)</f>
        <v>40%</v>
      </c>
      <c r="AF120" s="182"/>
      <c r="AG120" s="496" t="str">
        <f>IF(AND(AE120&lt;=20%),"Leve",IF(AND(AE120&gt;="21%",AE120&lt;="40%"),"Menor",IF(AND(AE120&gt;=41%,AE120&lt;=60%),"Moderado",IF(AND(AE120&gt;=61%,AE120&lt;=80%),"Mayor",IF(AND(AE120&gt;="81%",AE120&lt;="100%"),"Catastrófico",FALSE)))))</f>
        <v>Menor</v>
      </c>
      <c r="AH120" s="496" t="str">
        <f>IF(OR(AND(AC120="Media",AG120="Leve"),AND(AC120="Alta",AG120="Leve"),AND(AC120="Alta",AG120="Menor"),AND(AC120="Media",AG120="Menor"),AND(AC120="Baja",AG120="Menor"),AND(AC120="Media",AG120="Moderado"),AND(AC120="Baja",AG120="Moderado"),AND(AC120="Muy Baja",AG120="Moderado")),"Moderado",IF(OR(AND(AC120="Baja",AG120="Leve"),AND(AC120="Muy Baja",AG120="Leve"),AND(AC120="Muy Baja",AG120="Menor")),"Bajo",IF(OR(AND(AC120="Muy Alta",AG120="Leve"),AND(AC120="Muy Alta",AG120="Menor"),AND(AC120="Muy Alta",AG120="Moderado"),AND(AC120="Alta",AG120="Moderado"),AND(AC120="Muy Alta",AG120="Mayor"),AND(AC120="Alta",AG120="Mayor"),AND(AC120="Media",AG120="Mayor"),AND(AC120="Baja",AG120="Mayor"),AND(AC120="Muy Baja",AG120="Mayor")),"Alto",IF(OR(AND(AC120="Alta",AG120="Catastrófico"),AND(AC120="Muy Alta",AG120="Catastrófico"),AND(AC120="Media",AG120="Catastrófico"),AND(AC120="Baja",AG120="Catastrófico"),AND(AC120="Muy Baja",AG120="Catastrófico")),"Extremo",IF(AG120="Catastrófico","Extremo")))))</f>
        <v>Moderado</v>
      </c>
      <c r="AI120" s="496" t="s">
        <v>111</v>
      </c>
      <c r="AJ120" s="178"/>
      <c r="AK120" s="178"/>
      <c r="AL120" s="152"/>
      <c r="AM120" s="178"/>
      <c r="AN120" s="178"/>
      <c r="AO120" s="178"/>
      <c r="AP120" s="496" t="s">
        <v>374</v>
      </c>
      <c r="AQ120" s="539" t="s">
        <v>113</v>
      </c>
      <c r="FM120" s="89"/>
      <c r="FQ120" s="80"/>
    </row>
    <row r="121" spans="1:173" s="78" customFormat="1" ht="13.5" customHeight="1" x14ac:dyDescent="0.25">
      <c r="A121" s="200"/>
      <c r="B121" s="128" t="s">
        <v>356</v>
      </c>
      <c r="C121" s="200"/>
      <c r="D121" s="200"/>
      <c r="E121" s="200"/>
      <c r="F121" s="200"/>
      <c r="G121" s="200"/>
      <c r="H121" s="200"/>
      <c r="I121" s="210"/>
      <c r="J121" s="203"/>
      <c r="K121" s="497"/>
      <c r="L121" s="497"/>
      <c r="M121" s="497"/>
      <c r="N121" s="497"/>
      <c r="O121" s="510"/>
      <c r="P121" s="497"/>
      <c r="Q121" s="130"/>
      <c r="R121" s="133"/>
      <c r="S121" s="178"/>
      <c r="T121" s="178"/>
      <c r="U121" s="178"/>
      <c r="V121" s="178" t="str">
        <f t="shared" ref="V121:V125" si="27">IF(AND(T121=$FS$2,U121=$FT$2),"50%",IF(AND(T121=$FS$2,U121=$FT$3),"40%",IF(AND(T121=$FS$3,U121=$FT$2),"40%",IF(AND(T121=$FS$3,U121=$FT$3),"30%",IF(AND(T121=$FS$4,U121=$FT$2),"35%",IF(AND(T121=$FS$4,U121=$FT$3),"25%",""))))))</f>
        <v/>
      </c>
      <c r="W121" s="178"/>
      <c r="X121" s="178"/>
      <c r="Y121" s="178"/>
      <c r="Z121" s="131" t="str">
        <f>IFERROR(IF(AND(S120="Probabilidad",S121="Probabilidad"),(Z120-(+Z120*V121)),IF(S121="Probabilidad",(L120-(+L120*V121)),IF(S121="Impacto",Z120,""))),"")</f>
        <v/>
      </c>
      <c r="AA121" s="219"/>
      <c r="AB121" s="182"/>
      <c r="AC121" s="497"/>
      <c r="AD121" s="182" t="str">
        <f>IFERROR(IF(AND(S120="Impacto",V121="Impacto"),(AD120-(+AD120*V121)),IF(S121="Impacto",(O120-(+O120*V121)),IF(S121="Probabilidad",AD120,""))),"")</f>
        <v/>
      </c>
      <c r="AE121" s="219"/>
      <c r="AF121" s="182"/>
      <c r="AG121" s="497"/>
      <c r="AH121" s="497"/>
      <c r="AI121" s="497"/>
      <c r="AJ121" s="178"/>
      <c r="AK121" s="178"/>
      <c r="AL121" s="152"/>
      <c r="AM121" s="178"/>
      <c r="AN121" s="178"/>
      <c r="AO121" s="178"/>
      <c r="AP121" s="497"/>
      <c r="AQ121" s="537"/>
      <c r="FM121" s="89"/>
    </row>
    <row r="122" spans="1:173" s="78" customFormat="1" ht="13.5" customHeight="1" x14ac:dyDescent="0.25">
      <c r="A122" s="200"/>
      <c r="B122" s="128" t="s">
        <v>356</v>
      </c>
      <c r="C122" s="200"/>
      <c r="D122" s="200"/>
      <c r="E122" s="200"/>
      <c r="F122" s="200"/>
      <c r="G122" s="200"/>
      <c r="H122" s="200"/>
      <c r="I122" s="210"/>
      <c r="J122" s="203"/>
      <c r="K122" s="497"/>
      <c r="L122" s="497"/>
      <c r="M122" s="497"/>
      <c r="N122" s="497"/>
      <c r="O122" s="510"/>
      <c r="P122" s="497"/>
      <c r="Q122" s="130"/>
      <c r="R122" s="133"/>
      <c r="S122" s="178"/>
      <c r="T122" s="178"/>
      <c r="U122" s="178"/>
      <c r="V122" s="178" t="str">
        <f t="shared" si="27"/>
        <v/>
      </c>
      <c r="W122" s="178"/>
      <c r="X122" s="178"/>
      <c r="Y122" s="178"/>
      <c r="Z122" s="131" t="str">
        <f>IFERROR(IF(AND(S121="Probabilidad",S122="Probabilidad"),(Z121-(+Z121*V122)),IF(S122="Probabilidad",(L121-(+L121*V122)),IF(S122="Impacto",Z121,""))),"")</f>
        <v/>
      </c>
      <c r="AA122" s="219"/>
      <c r="AB122" s="182"/>
      <c r="AC122" s="497"/>
      <c r="AD122" s="182" t="str">
        <f t="shared" ref="AD122:AD125" si="28">IFERROR(IF(AND(S121="Impacto",V122="Impacto"),(AD121-(+AD121*V122)),IF(S122="Impacto",(O121-(+O121*V122)),IF(S122="Probabilidad",AD121,""))),"")</f>
        <v/>
      </c>
      <c r="AE122" s="219"/>
      <c r="AF122" s="182"/>
      <c r="AG122" s="497"/>
      <c r="AH122" s="497"/>
      <c r="AI122" s="497"/>
      <c r="AJ122" s="178"/>
      <c r="AK122" s="178"/>
      <c r="AL122" s="152"/>
      <c r="AM122" s="178"/>
      <c r="AN122" s="178"/>
      <c r="AO122" s="178"/>
      <c r="AP122" s="497"/>
      <c r="AQ122" s="537"/>
      <c r="FM122" s="89"/>
    </row>
    <row r="123" spans="1:173" s="78" customFormat="1" ht="13.5" customHeight="1" x14ac:dyDescent="0.25">
      <c r="A123" s="200"/>
      <c r="B123" s="128" t="s">
        <v>356</v>
      </c>
      <c r="C123" s="200"/>
      <c r="D123" s="200"/>
      <c r="E123" s="200"/>
      <c r="F123" s="200"/>
      <c r="G123" s="200"/>
      <c r="H123" s="200"/>
      <c r="I123" s="210"/>
      <c r="J123" s="203"/>
      <c r="K123" s="497"/>
      <c r="L123" s="497"/>
      <c r="M123" s="497"/>
      <c r="N123" s="497"/>
      <c r="O123" s="510"/>
      <c r="P123" s="497"/>
      <c r="Q123" s="130"/>
      <c r="R123" s="133"/>
      <c r="S123" s="178"/>
      <c r="T123" s="178"/>
      <c r="U123" s="178"/>
      <c r="V123" s="178" t="str">
        <f t="shared" si="27"/>
        <v/>
      </c>
      <c r="W123" s="178"/>
      <c r="X123" s="178"/>
      <c r="Y123" s="178"/>
      <c r="Z123" s="131" t="str">
        <f>IFERROR(IF(AND(S122="Probabilidad",S123="Probabilidad"),(Z122-(+Z122*V123)),IF(S123="Probabilidad",(L122-(+L122*V123)),IF(S123="Impacto",Z122,""))),"")</f>
        <v/>
      </c>
      <c r="AA123" s="219"/>
      <c r="AB123" s="182"/>
      <c r="AC123" s="497"/>
      <c r="AD123" s="182" t="str">
        <f t="shared" si="28"/>
        <v/>
      </c>
      <c r="AE123" s="219"/>
      <c r="AF123" s="182"/>
      <c r="AG123" s="497"/>
      <c r="AH123" s="497"/>
      <c r="AI123" s="497"/>
      <c r="AJ123" s="178"/>
      <c r="AK123" s="178"/>
      <c r="AL123" s="152"/>
      <c r="AM123" s="178"/>
      <c r="AN123" s="178"/>
      <c r="AO123" s="178"/>
      <c r="AP123" s="497"/>
      <c r="AQ123" s="537"/>
      <c r="FM123" s="89"/>
    </row>
    <row r="124" spans="1:173" s="78" customFormat="1" ht="13.5" customHeight="1" x14ac:dyDescent="0.25">
      <c r="A124" s="200"/>
      <c r="B124" s="128" t="s">
        <v>356</v>
      </c>
      <c r="C124" s="200"/>
      <c r="D124" s="200"/>
      <c r="E124" s="200"/>
      <c r="F124" s="200"/>
      <c r="G124" s="200"/>
      <c r="H124" s="200"/>
      <c r="I124" s="210"/>
      <c r="J124" s="203"/>
      <c r="K124" s="497"/>
      <c r="L124" s="497"/>
      <c r="M124" s="497"/>
      <c r="N124" s="497"/>
      <c r="O124" s="510"/>
      <c r="P124" s="497"/>
      <c r="Q124" s="130"/>
      <c r="R124" s="133"/>
      <c r="S124" s="178"/>
      <c r="T124" s="178"/>
      <c r="U124" s="178"/>
      <c r="V124" s="178" t="str">
        <f t="shared" si="27"/>
        <v/>
      </c>
      <c r="W124" s="178"/>
      <c r="X124" s="178"/>
      <c r="Y124" s="178"/>
      <c r="Z124" s="131" t="str">
        <f>IFERROR(IF(AND(S123="Probabilidad",S124="Probabilidad"),(Z123-(+Z123*V124)),IF(S124="Probabilidad",(L123-(+L123*V124)),IF(S124="Impacto",Z123,""))),"")</f>
        <v/>
      </c>
      <c r="AA124" s="219"/>
      <c r="AB124" s="182"/>
      <c r="AC124" s="497"/>
      <c r="AD124" s="182" t="str">
        <f t="shared" si="28"/>
        <v/>
      </c>
      <c r="AE124" s="219"/>
      <c r="AF124" s="182"/>
      <c r="AG124" s="497"/>
      <c r="AH124" s="497"/>
      <c r="AI124" s="497"/>
      <c r="AJ124" s="178"/>
      <c r="AK124" s="178"/>
      <c r="AL124" s="152"/>
      <c r="AM124" s="178"/>
      <c r="AN124" s="178"/>
      <c r="AO124" s="178"/>
      <c r="AP124" s="497"/>
      <c r="AQ124" s="537"/>
      <c r="FM124" s="89"/>
    </row>
    <row r="125" spans="1:173" s="78" customFormat="1" ht="13.5" customHeight="1" x14ac:dyDescent="0.25">
      <c r="A125" s="201"/>
      <c r="B125" s="128" t="s">
        <v>356</v>
      </c>
      <c r="C125" s="201"/>
      <c r="D125" s="201"/>
      <c r="E125" s="201"/>
      <c r="F125" s="201"/>
      <c r="G125" s="201"/>
      <c r="H125" s="201"/>
      <c r="I125" s="211"/>
      <c r="J125" s="204"/>
      <c r="K125" s="498"/>
      <c r="L125" s="498"/>
      <c r="M125" s="498"/>
      <c r="N125" s="498"/>
      <c r="O125" s="511"/>
      <c r="P125" s="498"/>
      <c r="Q125" s="130"/>
      <c r="R125" s="133"/>
      <c r="S125" s="178"/>
      <c r="T125" s="178"/>
      <c r="U125" s="178"/>
      <c r="V125" s="178" t="str">
        <f t="shared" si="27"/>
        <v/>
      </c>
      <c r="W125" s="178"/>
      <c r="X125" s="178"/>
      <c r="Y125" s="178"/>
      <c r="Z125" s="131" t="str">
        <f>IFERROR(IF(AND(S124="Probabilidad",S125="Probabilidad"),(Z124-(+Z124*V125)),IF(S125="Probabilidad",(L124-(+L124*V125)),IF(S125="Impacto",Z124,""))),"")</f>
        <v/>
      </c>
      <c r="AA125" s="220"/>
      <c r="AB125" s="182"/>
      <c r="AC125" s="498"/>
      <c r="AD125" s="182" t="str">
        <f t="shared" si="28"/>
        <v/>
      </c>
      <c r="AE125" s="220"/>
      <c r="AF125" s="182"/>
      <c r="AG125" s="498"/>
      <c r="AH125" s="498"/>
      <c r="AI125" s="498"/>
      <c r="AJ125" s="178"/>
      <c r="AK125" s="178"/>
      <c r="AL125" s="152"/>
      <c r="AM125" s="178"/>
      <c r="AN125" s="178"/>
      <c r="AO125" s="178"/>
      <c r="AP125" s="498"/>
      <c r="AQ125" s="538"/>
      <c r="FM125" s="89"/>
      <c r="FQ125" s="79"/>
    </row>
    <row r="126" spans="1:173" s="78" customFormat="1" ht="13.5" customHeight="1" x14ac:dyDescent="0.25">
      <c r="A126" s="199">
        <v>23</v>
      </c>
      <c r="B126" s="128" t="s">
        <v>356</v>
      </c>
      <c r="C126" s="199" t="s">
        <v>248</v>
      </c>
      <c r="D126" s="199" t="s">
        <v>375</v>
      </c>
      <c r="E126" s="199" t="s">
        <v>376</v>
      </c>
      <c r="F126" s="199" t="s">
        <v>377</v>
      </c>
      <c r="G126" s="199" t="s">
        <v>265</v>
      </c>
      <c r="H126" s="199" t="s">
        <v>255</v>
      </c>
      <c r="I126" s="209" t="s">
        <v>378</v>
      </c>
      <c r="J126" s="202">
        <v>40</v>
      </c>
      <c r="K126" s="496" t="str">
        <f>IF(AND(J126&lt;=2),"Muy Baja",IF(AND(J126&gt;=3,J126&lt;=23),"Baja",IF(AND(J126&gt;=24,J126&lt;=499),"Media",IF(AND(J126&gt;=500,J126&lt;=4999),"Alta",IF(AND(J126&gt;=5000),"Muy Alta",FALSE)))))</f>
        <v>Media</v>
      </c>
      <c r="L126" s="496" t="str">
        <f>IF(AND(J126&lt;=2),"20%",IF(AND(J126&gt;=3,J126&lt;=23),"40%",IF(AND(J126&gt;=24,J126&lt;=499),"60%",IF(AND(J126&gt;=500,J126&lt;=4999),"80%",IF(AND(J126&gt;=5000),"100%",FALSE)))))</f>
        <v>60%</v>
      </c>
      <c r="M126" s="496" t="s">
        <v>160</v>
      </c>
      <c r="N126" s="496" t="str">
        <f>IF(AND(M126=$FQ$4),"Leve",IF(AND(M126=$FQ$5),"Menor",IF(AND(M126=$FQ$6),"Moderado",IF(AND(M126=$FQ$7),"mayor",IF(AND(M126=$FQ$8),"Catastrófico",IF(AND(M126=$FQ$10),"Leve",IF(AND(M126=$FQ$11),"Menor",IF(AND(M126=$FQ$12),"Moderado",IF(AND(M126=$FQ$13),"Mayor",IF(AND(M126=$FQ$14),"Catastrófico",FALSE))))))))))</f>
        <v>Menor</v>
      </c>
      <c r="O126" s="509" t="str">
        <f>IF(AND(N126="Leve"),"20%",IF(AND(N126="Menor"),"40%",IF(AND(N126="Moderado"),"60%",IF(AND(N126="Mayor"),"80%",IF(AND(N126="Catastrófico"),"100%","")))))</f>
        <v>40%</v>
      </c>
      <c r="P126" s="496" t="str">
        <f>IF(AND(L126&lt;="40%",O126="20%"),"Bajo",IF(AND(L126="60%",O126="20%"),"Moderado",IF(AND(L126="80%",O126="20%"),"Moderado",IF(AND(L126="100%",O126="20%"),"Alto",IF(AND(L126="20%",O126="40%"),"Bajo",IF(AND(L126="40%",O126="40%"),"Moderado",IF(AND(L126="60%",O126="40%"),"Moderado",IF(AND(L126="80%",O126="40%"),"Moderado",IF(AND(L126="100%",O126="40%"),"Alto",IF(AND(L126="20%",O126="60%"),"Moderado",IF(AND(L126="40%",O126="60%"),"Moderado",IF(AND(L126="60%",O126="60%"),"Moderado",IF(AND(L126="80%",O126="60%"),"Alto",IF(AND(L126="100%",O126="60%"),"Alto",IF(AND(L126="20%",O126="80%"),"Alto",IF(AND(L126="40%",O126="80%"),"Alto",IF(AND(L126="60%",O126="80%"),"Alto",IF(AND(L126="80%",O126="80%"),"Alto",IF(AND(L126="100%",O126="80%"),"Alto",IF(AND(L126="20%",O126="100%"),"Extremo",IF(AND(L126="40%",O126="100%"),"Extremo",IF(AND(L126="60%",O126="100%"),"Extremo",IF(AND(L126="80%",O126="100%"),"Moderado",IF(AND(L126="100%",O126="100%"),"Extremo",""""))))))))))))))))))))))))</f>
        <v>Moderado</v>
      </c>
      <c r="Q126" s="130">
        <v>1</v>
      </c>
      <c r="R126" s="133" t="s">
        <v>379</v>
      </c>
      <c r="S126" s="178" t="s">
        <v>237</v>
      </c>
      <c r="T126" s="178" t="s">
        <v>152</v>
      </c>
      <c r="U126" s="178" t="s">
        <v>153</v>
      </c>
      <c r="V126" s="178" t="str">
        <f>IF(AND(T126=$FS$2,U126=$FT$2),"50%",IF(AND(T126=$FS$2,U126=$FT$3),"40%",IF(AND(T126=$FS$3,U126=$FT$2),"40%",IF(AND(T126=$FS$3,U126=$FT$3),"30%",IF(AND(T126=$FS$4,U126=$FT$2),"35%",IF(AND(T126=$FS$4,U126=$FT$3),"25%",""))))))</f>
        <v>40%</v>
      </c>
      <c r="W126" s="178" t="s">
        <v>154</v>
      </c>
      <c r="X126" s="178" t="s">
        <v>155</v>
      </c>
      <c r="Y126" s="178" t="s">
        <v>156</v>
      </c>
      <c r="Z126" s="131">
        <f>IFERROR(IF(S126="Probabilidad",(L126-(+L126*V126)),IF(S126="Impacto",L126,"")),"")</f>
        <v>0.36</v>
      </c>
      <c r="AA126" s="218">
        <f>LOOKUP(2,1/(Z126:Z131&lt;&gt;""),Z126:Z131)</f>
        <v>0.36</v>
      </c>
      <c r="AB126" s="182"/>
      <c r="AC126" s="496" t="str">
        <f>IF(AND(AA126&lt;=20%),"Muy Baja",IF(AND(AA126&gt;=21%,AA126&lt;=40%),"Baja",IF(AND(AA126&gt;=41%,AA126&lt;=60%),"Media",IF(AND(AA126&gt;=61%,AA126&lt;=80%),"Alta",IF(AND(AA126&gt;=81%,AA126&gt;=100%),"Muy Alta",FALSE)))))</f>
        <v>Baja</v>
      </c>
      <c r="AD126" s="182" t="str">
        <f>IFERROR(IF(S126="Impacto",(O126-(+O126*V126)),IF(S126="Probabilidad",O126,"")),"")</f>
        <v>40%</v>
      </c>
      <c r="AE126" s="218" t="str">
        <f>LOOKUP(2,1/(AD126:AD131&lt;&gt;""),AD126:AD131)</f>
        <v>40%</v>
      </c>
      <c r="AF126" s="182"/>
      <c r="AG126" s="496" t="str">
        <f>IF(AND(AE126&lt;=20%),"Leve",IF(AND(AE126&gt;="21%",AE126&lt;="40%"),"Menor",IF(AND(AE126&gt;=41%,AE126&lt;=60%),"Moderado",IF(AND(AE126&gt;=61%,AE126&lt;=80%),"Mayor",IF(AND(AE126&gt;="81%",AE126&lt;="100%"),"Catastrófico",FALSE)))))</f>
        <v>Menor</v>
      </c>
      <c r="AH126" s="496" t="str">
        <f>IF(OR(AND(AC126="Media",AG126="Leve"),AND(AC126="Alta",AG126="Leve"),AND(AC126="Alta",AG126="Menor"),AND(AC126="Media",AG126="Menor"),AND(AC126="Baja",AG126="Menor"),AND(AC126="Media",AG126="Moderado"),AND(AC126="Baja",AG126="Moderado"),AND(AC126="Muy Baja",AG126="Moderado")),"Moderado",IF(OR(AND(AC126="Baja",AG126="Leve"),AND(AC126="Muy Baja",AG126="Leve"),AND(AC126="Muy Baja",AG126="Menor")),"Bajo",IF(OR(AND(AC126="Muy Alta",AG126="Leve"),AND(AC126="Muy Alta",AG126="Menor"),AND(AC126="Muy Alta",AG126="Moderado"),AND(AC126="Alta",AG126="Moderado"),AND(AC126="Muy Alta",AG126="Mayor"),AND(AC126="Alta",AG126="Mayor"),AND(AC126="Media",AG126="Mayor"),AND(AC126="Baja",AG126="Mayor"),AND(AC126="Muy Baja",AG126="Mayor")),"Alto",IF(OR(AND(AC126="Alta",AG126="Catastrófico"),AND(AC126="Muy Alta",AG126="Catastrófico"),AND(AC126="Media",AG126="Catastrófico"),AND(AC126="Baja",AG126="Catastrófico"),AND(AC126="Muy Baja",AG126="Catastrófico")),"Extremo",IF(AG126="Catastrófico","Extremo")))))</f>
        <v>Moderado</v>
      </c>
      <c r="AI126" s="496" t="s">
        <v>111</v>
      </c>
      <c r="AJ126" s="178"/>
      <c r="AK126" s="178"/>
      <c r="AL126" s="152"/>
      <c r="AM126" s="178"/>
      <c r="AN126" s="178"/>
      <c r="AO126" s="178"/>
      <c r="AP126" s="496" t="s">
        <v>380</v>
      </c>
      <c r="AQ126" s="539" t="s">
        <v>113</v>
      </c>
      <c r="FM126" s="89"/>
      <c r="FQ126" s="80"/>
    </row>
    <row r="127" spans="1:173" s="78" customFormat="1" ht="13.5" customHeight="1" x14ac:dyDescent="0.25">
      <c r="A127" s="200"/>
      <c r="B127" s="128" t="s">
        <v>356</v>
      </c>
      <c r="C127" s="200"/>
      <c r="D127" s="200"/>
      <c r="E127" s="200"/>
      <c r="F127" s="200"/>
      <c r="G127" s="200"/>
      <c r="H127" s="200"/>
      <c r="I127" s="210"/>
      <c r="J127" s="203"/>
      <c r="K127" s="497"/>
      <c r="L127" s="497"/>
      <c r="M127" s="497"/>
      <c r="N127" s="497"/>
      <c r="O127" s="510"/>
      <c r="P127" s="497"/>
      <c r="Q127" s="130"/>
      <c r="R127" s="133"/>
      <c r="S127" s="178"/>
      <c r="T127" s="178"/>
      <c r="U127" s="178"/>
      <c r="V127" s="178" t="str">
        <f t="shared" ref="V127:V131" si="29">IF(AND(T127=$FS$2,U127=$FT$2),"50%",IF(AND(T127=$FS$2,U127=$FT$3),"40%",IF(AND(T127=$FS$3,U127=$FT$2),"40%",IF(AND(T127=$FS$3,U127=$FT$3),"30%",IF(AND(T127=$FS$4,U127=$FT$2),"35%",IF(AND(T127=$FS$4,U127=$FT$3),"25%",""))))))</f>
        <v/>
      </c>
      <c r="W127" s="178"/>
      <c r="X127" s="178"/>
      <c r="Y127" s="178"/>
      <c r="Z127" s="131" t="str">
        <f>IFERROR(IF(AND(S126="Probabilidad",S127="Probabilidad"),(Z126-(+Z126*V127)),IF(S127="Probabilidad",(L126-(+L126*V127)),IF(S127="Impacto",Z126,""))),"")</f>
        <v/>
      </c>
      <c r="AA127" s="219"/>
      <c r="AB127" s="182"/>
      <c r="AC127" s="497"/>
      <c r="AD127" s="182" t="str">
        <f>IFERROR(IF(AND(S126="Impacto",V127="Impacto"),(AD126-(+AD126*V127)),IF(S127="Impacto",(O126-(+O126*V127)),IF(S127="Probabilidad",AD126,""))),"")</f>
        <v/>
      </c>
      <c r="AE127" s="219"/>
      <c r="AF127" s="182"/>
      <c r="AG127" s="497"/>
      <c r="AH127" s="497"/>
      <c r="AI127" s="497"/>
      <c r="AJ127" s="178"/>
      <c r="AK127" s="178"/>
      <c r="AL127" s="152"/>
      <c r="AM127" s="178"/>
      <c r="AN127" s="178"/>
      <c r="AO127" s="178"/>
      <c r="AP127" s="497"/>
      <c r="AQ127" s="537"/>
      <c r="FM127" s="89"/>
    </row>
    <row r="128" spans="1:173" s="78" customFormat="1" ht="13.5" customHeight="1" x14ac:dyDescent="0.25">
      <c r="A128" s="200"/>
      <c r="B128" s="128" t="s">
        <v>356</v>
      </c>
      <c r="C128" s="200"/>
      <c r="D128" s="200"/>
      <c r="E128" s="200"/>
      <c r="F128" s="200"/>
      <c r="G128" s="200"/>
      <c r="H128" s="200"/>
      <c r="I128" s="210"/>
      <c r="J128" s="203"/>
      <c r="K128" s="497"/>
      <c r="L128" s="497"/>
      <c r="M128" s="497"/>
      <c r="N128" s="497"/>
      <c r="O128" s="510"/>
      <c r="P128" s="497"/>
      <c r="Q128" s="130"/>
      <c r="R128" s="133"/>
      <c r="S128" s="178"/>
      <c r="T128" s="178"/>
      <c r="U128" s="178"/>
      <c r="V128" s="178" t="str">
        <f t="shared" si="29"/>
        <v/>
      </c>
      <c r="W128" s="178"/>
      <c r="X128" s="178"/>
      <c r="Y128" s="178"/>
      <c r="Z128" s="131" t="str">
        <f>IFERROR(IF(AND(S127="Probabilidad",S128="Probabilidad"),(Z127-(+Z127*V128)),IF(S128="Probabilidad",(L127-(+L127*V128)),IF(S128="Impacto",Z127,""))),"")</f>
        <v/>
      </c>
      <c r="AA128" s="219"/>
      <c r="AB128" s="182"/>
      <c r="AC128" s="497"/>
      <c r="AD128" s="182" t="str">
        <f t="shared" ref="AD128:AD131" si="30">IFERROR(IF(AND(S127="Impacto",V128="Impacto"),(AD127-(+AD127*V128)),IF(S128="Impacto",(O127-(+O127*V128)),IF(S128="Probabilidad",AD127,""))),"")</f>
        <v/>
      </c>
      <c r="AE128" s="219"/>
      <c r="AF128" s="182"/>
      <c r="AG128" s="497"/>
      <c r="AH128" s="497"/>
      <c r="AI128" s="497"/>
      <c r="AJ128" s="178"/>
      <c r="AK128" s="178"/>
      <c r="AL128" s="152"/>
      <c r="AM128" s="178"/>
      <c r="AN128" s="178"/>
      <c r="AO128" s="178"/>
      <c r="AP128" s="497"/>
      <c r="AQ128" s="537"/>
      <c r="FM128" s="89"/>
    </row>
    <row r="129" spans="1:173" s="78" customFormat="1" ht="13.5" customHeight="1" x14ac:dyDescent="0.25">
      <c r="A129" s="200"/>
      <c r="B129" s="128" t="s">
        <v>356</v>
      </c>
      <c r="C129" s="200"/>
      <c r="D129" s="200"/>
      <c r="E129" s="200"/>
      <c r="F129" s="200"/>
      <c r="G129" s="200"/>
      <c r="H129" s="200"/>
      <c r="I129" s="210"/>
      <c r="J129" s="203"/>
      <c r="K129" s="497"/>
      <c r="L129" s="497"/>
      <c r="M129" s="497"/>
      <c r="N129" s="497"/>
      <c r="O129" s="510"/>
      <c r="P129" s="497"/>
      <c r="Q129" s="130"/>
      <c r="R129" s="133"/>
      <c r="S129" s="178"/>
      <c r="T129" s="178"/>
      <c r="U129" s="178"/>
      <c r="V129" s="178" t="str">
        <f t="shared" si="29"/>
        <v/>
      </c>
      <c r="W129" s="178"/>
      <c r="X129" s="178"/>
      <c r="Y129" s="178"/>
      <c r="Z129" s="131" t="str">
        <f>IFERROR(IF(AND(S128="Probabilidad",S129="Probabilidad"),(Z128-(+Z128*V129)),IF(S129="Probabilidad",(L128-(+L128*V129)),IF(S129="Impacto",Z128,""))),"")</f>
        <v/>
      </c>
      <c r="AA129" s="219"/>
      <c r="AB129" s="182"/>
      <c r="AC129" s="497"/>
      <c r="AD129" s="182" t="str">
        <f t="shared" si="30"/>
        <v/>
      </c>
      <c r="AE129" s="219"/>
      <c r="AF129" s="182"/>
      <c r="AG129" s="497"/>
      <c r="AH129" s="497"/>
      <c r="AI129" s="497"/>
      <c r="AJ129" s="178"/>
      <c r="AK129" s="178"/>
      <c r="AL129" s="152"/>
      <c r="AM129" s="178"/>
      <c r="AN129" s="178"/>
      <c r="AO129" s="178"/>
      <c r="AP129" s="497"/>
      <c r="AQ129" s="537"/>
      <c r="FM129" s="89"/>
    </row>
    <row r="130" spans="1:173" s="78" customFormat="1" ht="13.5" customHeight="1" x14ac:dyDescent="0.25">
      <c r="A130" s="200"/>
      <c r="B130" s="128" t="s">
        <v>356</v>
      </c>
      <c r="C130" s="200"/>
      <c r="D130" s="200"/>
      <c r="E130" s="200"/>
      <c r="F130" s="200"/>
      <c r="G130" s="200"/>
      <c r="H130" s="200"/>
      <c r="I130" s="210"/>
      <c r="J130" s="203"/>
      <c r="K130" s="497"/>
      <c r="L130" s="497"/>
      <c r="M130" s="497"/>
      <c r="N130" s="497"/>
      <c r="O130" s="510"/>
      <c r="P130" s="497"/>
      <c r="Q130" s="130"/>
      <c r="R130" s="133"/>
      <c r="S130" s="178"/>
      <c r="T130" s="178"/>
      <c r="U130" s="178"/>
      <c r="V130" s="178" t="str">
        <f t="shared" si="29"/>
        <v/>
      </c>
      <c r="W130" s="178"/>
      <c r="X130" s="178"/>
      <c r="Y130" s="178"/>
      <c r="Z130" s="131" t="str">
        <f>IFERROR(IF(AND(S129="Probabilidad",S130="Probabilidad"),(Z129-(+Z129*V130)),IF(S130="Probabilidad",(L129-(+L129*V130)),IF(S130="Impacto",Z129,""))),"")</f>
        <v/>
      </c>
      <c r="AA130" s="219"/>
      <c r="AB130" s="182"/>
      <c r="AC130" s="497"/>
      <c r="AD130" s="182" t="str">
        <f t="shared" si="30"/>
        <v/>
      </c>
      <c r="AE130" s="219"/>
      <c r="AF130" s="182"/>
      <c r="AG130" s="497"/>
      <c r="AH130" s="497"/>
      <c r="AI130" s="497"/>
      <c r="AJ130" s="178"/>
      <c r="AK130" s="178"/>
      <c r="AL130" s="152"/>
      <c r="AM130" s="178"/>
      <c r="AN130" s="178"/>
      <c r="AO130" s="178"/>
      <c r="AP130" s="497"/>
      <c r="AQ130" s="537"/>
      <c r="FM130" s="89"/>
    </row>
    <row r="131" spans="1:173" s="78" customFormat="1" ht="13.5" customHeight="1" thickBot="1" x14ac:dyDescent="0.3">
      <c r="A131" s="201"/>
      <c r="B131" s="128" t="s">
        <v>356</v>
      </c>
      <c r="C131" s="201"/>
      <c r="D131" s="201"/>
      <c r="E131" s="201"/>
      <c r="F131" s="201"/>
      <c r="G131" s="201"/>
      <c r="H131" s="201"/>
      <c r="I131" s="495"/>
      <c r="J131" s="533"/>
      <c r="K131" s="498"/>
      <c r="L131" s="498"/>
      <c r="M131" s="498"/>
      <c r="N131" s="498"/>
      <c r="O131" s="511"/>
      <c r="P131" s="498"/>
      <c r="Q131" s="130"/>
      <c r="R131" s="133"/>
      <c r="S131" s="178"/>
      <c r="T131" s="178"/>
      <c r="U131" s="178"/>
      <c r="V131" s="178" t="str">
        <f t="shared" si="29"/>
        <v/>
      </c>
      <c r="W131" s="178"/>
      <c r="X131" s="178"/>
      <c r="Y131" s="178"/>
      <c r="Z131" s="131" t="str">
        <f>IFERROR(IF(AND(S130="Probabilidad",S131="Probabilidad"),(Z130-(+Z130*V131)),IF(S131="Probabilidad",(L130-(+L130*V131)),IF(S131="Impacto",Z130,""))),"")</f>
        <v/>
      </c>
      <c r="AA131" s="220"/>
      <c r="AB131" s="182"/>
      <c r="AC131" s="498"/>
      <c r="AD131" s="182" t="str">
        <f t="shared" si="30"/>
        <v/>
      </c>
      <c r="AE131" s="220"/>
      <c r="AF131" s="182"/>
      <c r="AG131" s="498"/>
      <c r="AH131" s="498"/>
      <c r="AI131" s="498"/>
      <c r="AJ131" s="178"/>
      <c r="AK131" s="178"/>
      <c r="AL131" s="152"/>
      <c r="AM131" s="178"/>
      <c r="AN131" s="178"/>
      <c r="AO131" s="178"/>
      <c r="AP131" s="498"/>
      <c r="AQ131" s="538"/>
      <c r="FM131" s="89"/>
      <c r="FQ131" s="79"/>
    </row>
    <row r="132" spans="1:173" s="78" customFormat="1" ht="13.5" customHeight="1" x14ac:dyDescent="0.25">
      <c r="A132" s="567">
        <v>24</v>
      </c>
      <c r="B132" s="126" t="s">
        <v>392</v>
      </c>
      <c r="C132" s="472" t="s">
        <v>233</v>
      </c>
      <c r="D132" s="470" t="s">
        <v>393</v>
      </c>
      <c r="E132" s="470" t="s">
        <v>394</v>
      </c>
      <c r="F132" s="470" t="s">
        <v>395</v>
      </c>
      <c r="G132" s="463" t="s">
        <v>149</v>
      </c>
      <c r="H132" s="199" t="s">
        <v>150</v>
      </c>
      <c r="I132" s="427" t="s">
        <v>396</v>
      </c>
      <c r="J132" s="600">
        <v>300</v>
      </c>
      <c r="K132" s="496" t="str">
        <f>IF(AND(J132&lt;=2),"Muy Baja",IF(AND(J132&gt;=3,J132&lt;=23),"Baja",IF(AND(J132&gt;=24,J132&lt;=499),"Media",IF(AND(J132&gt;=500,J132&lt;=4999),"Alta",IF(AND(J132&gt;=5000),"Muy Alta",FALSE)))))</f>
        <v>Media</v>
      </c>
      <c r="L132" s="496" t="str">
        <f>IF(AND(J132&lt;=2),"20%",IF(AND(J132&gt;=3,J132&lt;=23),"40%",IF(AND(J132&gt;=24,J132&lt;=499),"60%",IF(AND(J132&gt;=500,J132&lt;=4999),"80%",IF(AND(J132&gt;=5000),"100%",FALSE)))))</f>
        <v>60%</v>
      </c>
      <c r="M132" s="496" t="s">
        <v>162</v>
      </c>
      <c r="N132" s="496" t="str">
        <f>IF(AND(M132=$FQ$4),"Leve",IF(AND(M132=$FQ$5),"Menor",IF(AND(M132=$FQ$6),"Moderado",IF(AND(M132=$FQ$7),"mayor",IF(AND(M132=$FQ$8),"Catastrófico",IF(AND(M132=$FQ$10),"Leve",IF(AND(M132=$FQ$11),"Menor",IF(AND(M132=$FQ$12),"Moderado",IF(AND(M132=$FQ$13),"Mayor",IF(AND(M132=$FQ$14),"Catastrófico",FALSE))))))))))</f>
        <v>Moderado</v>
      </c>
      <c r="O132" s="509" t="str">
        <f>IF(AND(N132="Leve"),"20%",IF(AND(N132="Menor"),"40%",IF(AND(N132="Moderado"),"60%",IF(AND(N132="Mayor"),"80%",IF(AND(N132="Catastrófico"),"100%","")))))</f>
        <v>60%</v>
      </c>
      <c r="P132" s="496" t="str">
        <f>INDEX('[4]MATRIZ RIESGO'!$D$6:$H$10,MATCH(K132,'[4]MATRIZ RIESGO'!$C$6:$C$10,),MATCH(N132,'[4]MATRIZ RIESGO'!$D$5:$H$5,))</f>
        <v>Moderado</v>
      </c>
      <c r="Q132" s="572">
        <v>1</v>
      </c>
      <c r="R132" s="130" t="s">
        <v>807</v>
      </c>
      <c r="S132" s="178" t="s">
        <v>237</v>
      </c>
      <c r="T132" s="178" t="s">
        <v>152</v>
      </c>
      <c r="U132" s="178" t="s">
        <v>153</v>
      </c>
      <c r="V132" s="178" t="str">
        <f>IF(AND(T132=$FS$2,U132=$FT$2),"50%",IF(AND(T132=$FS$2,U132=$FT$3),"40%",IF(AND(T132=$FS$3,U132=$FT$2),"40%",IF(AND(T132=$FS$3,U132=$FT$3),"30%",IF(AND(T132=$FS$4,U132=$FT$2),"35%",IF(AND(T132=$FS$4,U132=$FT$3),"25%",""))))))</f>
        <v>40%</v>
      </c>
      <c r="W132" s="178" t="s">
        <v>154</v>
      </c>
      <c r="X132" s="178" t="s">
        <v>155</v>
      </c>
      <c r="Y132" s="178" t="s">
        <v>156</v>
      </c>
      <c r="Z132" s="131">
        <f>IFERROR(IF(S132="Probabilidad",(L132-(+L132*V132)),IF(S132="Impacto",L132,"")),"")</f>
        <v>0.36</v>
      </c>
      <c r="AA132" s="218">
        <f>LOOKUP(2,1/(Z132:Z137&lt;&gt;""),Z132:Z137)</f>
        <v>0.216</v>
      </c>
      <c r="AB132" s="218">
        <f>AA132*1</f>
        <v>0.216</v>
      </c>
      <c r="AC132" s="496" t="str">
        <f>IF(AND(AB132&lt;=20%),"Muy Baja",IF(AND(AB132&gt;=21%,AB132&lt;=40%),"Baja",IF(AND(AB132&gt;=41%,AB132&lt;=60%),"Media",IF(AND(AB132&gt;=61%,AB132&lt;=80%),"Alta",IF(AND(AB132&gt;=81%,AB132&gt;=100%),"Muy Alta",FALSE)))))</f>
        <v>Baja</v>
      </c>
      <c r="AD132" s="182" t="str">
        <f>IFERROR(IF(S132="Impacto",(O132-(+O132*V132)),IF(S132="Probabilidad",O132,"")),"")</f>
        <v>60%</v>
      </c>
      <c r="AE132" s="218" t="str">
        <f>LOOKUP(2,1/(AD132:AD137&lt;&gt;""),AD132:AD137)</f>
        <v>60%</v>
      </c>
      <c r="AF132" s="218">
        <f>AE132*1</f>
        <v>0.6</v>
      </c>
      <c r="AG132" s="496" t="str">
        <f>CHOOSE((AF132&gt;=0%)+(AF132&gt;=21%)+(AF132&gt;=41%)+(AF132&gt;=61%)+(AF132&gt;=81%),"Leve","Menor","Moderado","Mayor","Catastrófico")</f>
        <v>Moderado</v>
      </c>
      <c r="AH132" s="496" t="str">
        <f>INDEX('[4]MATRIZ RIESGO'!$D$6:$H$10,MATCH(AC132,'[4]MATRIZ RIESGO'!$C$6:$C$10,),MATCH(AG132,'[4]MATRIZ RIESGO'!$D$5:$H$5,))</f>
        <v>Moderado</v>
      </c>
      <c r="AI132" s="496" t="s">
        <v>111</v>
      </c>
      <c r="AJ132" s="172"/>
      <c r="AK132" s="172"/>
      <c r="AL132" s="163"/>
      <c r="AM132" s="172"/>
      <c r="AN132" s="172"/>
      <c r="AO132" s="172"/>
      <c r="AP132" s="496" t="s">
        <v>397</v>
      </c>
      <c r="AQ132" s="539" t="s">
        <v>113</v>
      </c>
      <c r="FM132" s="89"/>
      <c r="FP132" s="78" t="s">
        <v>255</v>
      </c>
      <c r="FQ132" s="80" t="s">
        <v>256</v>
      </c>
    </row>
    <row r="133" spans="1:173" s="78" customFormat="1" ht="13.5" customHeight="1" x14ac:dyDescent="0.2">
      <c r="A133" s="447"/>
      <c r="B133" s="126" t="s">
        <v>392</v>
      </c>
      <c r="C133" s="325"/>
      <c r="D133" s="441"/>
      <c r="E133" s="441"/>
      <c r="F133" s="441"/>
      <c r="G133" s="438"/>
      <c r="H133" s="200"/>
      <c r="I133" s="428"/>
      <c r="J133" s="601"/>
      <c r="K133" s="497"/>
      <c r="L133" s="497"/>
      <c r="M133" s="497"/>
      <c r="N133" s="497"/>
      <c r="O133" s="510"/>
      <c r="P133" s="497"/>
      <c r="Q133" s="572">
        <v>2</v>
      </c>
      <c r="R133" s="130" t="s">
        <v>808</v>
      </c>
      <c r="S133" s="178" t="s">
        <v>237</v>
      </c>
      <c r="T133" s="178" t="s">
        <v>152</v>
      </c>
      <c r="U133" s="178" t="s">
        <v>153</v>
      </c>
      <c r="V133" s="178" t="str">
        <f t="shared" ref="V133:V137" si="31">IF(AND(T133=$FS$2,U133=$FT$2),"50%",IF(AND(T133=$FS$2,U133=$FT$3),"40%",IF(AND(T133=$FS$3,U133=$FT$2),"40%",IF(AND(T133=$FS$3,U133=$FT$3),"30%",IF(AND(T133=$FS$4,U133=$FT$2),"35%",IF(AND(T133=$FS$4,U133=$FT$3),"25%",""))))))</f>
        <v>40%</v>
      </c>
      <c r="W133" s="178" t="s">
        <v>154</v>
      </c>
      <c r="X133" s="178" t="s">
        <v>155</v>
      </c>
      <c r="Y133" s="178" t="s">
        <v>156</v>
      </c>
      <c r="Z133" s="131">
        <f>IFERROR(IF(AND(S132="Probabilidad",S133="Probabilidad"),(Z132-(+Z132*V133)),IF(S133="Probabilidad",(L132-(+L132*V133)),IF(S133="Impacto",Z132,""))),"")</f>
        <v>0.216</v>
      </c>
      <c r="AA133" s="219"/>
      <c r="AB133" s="219"/>
      <c r="AC133" s="497"/>
      <c r="AD133" s="182" t="str">
        <f>IFERROR(IF(AND(S132="Impacto",V133="Impacto"),(AD132-(+AD132*V133)),IF(S133="Impacto",(O132-(+O132*V133)),IF(S133="Probabilidad",AD132,""))),"")</f>
        <v>60%</v>
      </c>
      <c r="AE133" s="219"/>
      <c r="AF133" s="219"/>
      <c r="AG133" s="497"/>
      <c r="AH133" s="497"/>
      <c r="AI133" s="497"/>
      <c r="AJ133" s="172"/>
      <c r="AK133" s="172"/>
      <c r="AL133" s="163"/>
      <c r="AM133" s="172"/>
      <c r="AN133" s="172"/>
      <c r="AO133" s="172"/>
      <c r="AP133" s="497"/>
      <c r="AQ133" s="537"/>
      <c r="FM133" s="89"/>
      <c r="FP133" s="78" t="s">
        <v>196</v>
      </c>
      <c r="FQ133" s="87" t="s">
        <v>158</v>
      </c>
    </row>
    <row r="134" spans="1:173" s="78" customFormat="1" ht="13.5" customHeight="1" x14ac:dyDescent="0.2">
      <c r="A134" s="447"/>
      <c r="B134" s="126" t="s">
        <v>392</v>
      </c>
      <c r="C134" s="325"/>
      <c r="D134" s="441"/>
      <c r="E134" s="441"/>
      <c r="F134" s="441"/>
      <c r="G134" s="438"/>
      <c r="H134" s="200"/>
      <c r="I134" s="428"/>
      <c r="J134" s="601"/>
      <c r="K134" s="497"/>
      <c r="L134" s="497"/>
      <c r="M134" s="497"/>
      <c r="N134" s="497"/>
      <c r="O134" s="510"/>
      <c r="P134" s="497"/>
      <c r="Q134" s="572"/>
      <c r="R134" s="130"/>
      <c r="S134" s="178"/>
      <c r="T134" s="178"/>
      <c r="U134" s="178"/>
      <c r="V134" s="178" t="str">
        <f t="shared" si="31"/>
        <v/>
      </c>
      <c r="W134" s="178"/>
      <c r="X134" s="178"/>
      <c r="Y134" s="178"/>
      <c r="Z134" s="131" t="str">
        <f>IFERROR(IF(AND(S133="Probabilidad",S134="Probabilidad"),(Z133-(+Z133*V134)),IF(S134="Probabilidad",(L133-(+L133*V134)),IF(S134="Impacto",Z133,""))),"")</f>
        <v/>
      </c>
      <c r="AA134" s="219"/>
      <c r="AB134" s="219"/>
      <c r="AC134" s="497"/>
      <c r="AD134" s="182" t="str">
        <f t="shared" ref="AD134:AD137" si="32">IFERROR(IF(AND(S133="Impacto",V134="Impacto"),(AD133-(+AD133*V134)),IF(S134="Impacto",(O133-(+O133*V134)),IF(S134="Probabilidad",AD133,""))),"")</f>
        <v/>
      </c>
      <c r="AE134" s="219"/>
      <c r="AF134" s="219"/>
      <c r="AG134" s="497"/>
      <c r="AH134" s="497"/>
      <c r="AI134" s="497"/>
      <c r="AJ134" s="172"/>
      <c r="AK134" s="172"/>
      <c r="AL134" s="163"/>
      <c r="AM134" s="172"/>
      <c r="AN134" s="172"/>
      <c r="AO134" s="172"/>
      <c r="AP134" s="497"/>
      <c r="AQ134" s="537"/>
      <c r="FM134" s="89"/>
      <c r="FQ134" s="87" t="s">
        <v>160</v>
      </c>
    </row>
    <row r="135" spans="1:173" s="78" customFormat="1" ht="13.5" customHeight="1" x14ac:dyDescent="0.2">
      <c r="A135" s="447"/>
      <c r="B135" s="126" t="s">
        <v>392</v>
      </c>
      <c r="C135" s="325"/>
      <c r="D135" s="441"/>
      <c r="E135" s="441"/>
      <c r="F135" s="441"/>
      <c r="G135" s="438"/>
      <c r="H135" s="200"/>
      <c r="I135" s="428"/>
      <c r="J135" s="601"/>
      <c r="K135" s="497"/>
      <c r="L135" s="497"/>
      <c r="M135" s="497"/>
      <c r="N135" s="497"/>
      <c r="O135" s="510"/>
      <c r="P135" s="497"/>
      <c r="Q135" s="572"/>
      <c r="R135" s="130"/>
      <c r="S135" s="178"/>
      <c r="T135" s="178"/>
      <c r="U135" s="178"/>
      <c r="V135" s="178" t="str">
        <f t="shared" si="31"/>
        <v/>
      </c>
      <c r="W135" s="178"/>
      <c r="X135" s="178"/>
      <c r="Y135" s="178"/>
      <c r="Z135" s="131" t="str">
        <f>IFERROR(IF(AND(S134="Probabilidad",S135="Probabilidad"),(Z134-(+Z134*V135)),IF(S135="Probabilidad",(L134-(+L134*V135)),IF(S135="Impacto",Z134,""))),"")</f>
        <v/>
      </c>
      <c r="AA135" s="219"/>
      <c r="AB135" s="219"/>
      <c r="AC135" s="497"/>
      <c r="AD135" s="182" t="str">
        <f t="shared" si="32"/>
        <v/>
      </c>
      <c r="AE135" s="219"/>
      <c r="AF135" s="219"/>
      <c r="AG135" s="497"/>
      <c r="AH135" s="497"/>
      <c r="AI135" s="497"/>
      <c r="AJ135" s="172"/>
      <c r="AK135" s="172"/>
      <c r="AL135" s="163"/>
      <c r="AM135" s="172"/>
      <c r="AN135" s="172"/>
      <c r="AO135" s="172"/>
      <c r="AP135" s="497"/>
      <c r="AQ135" s="537"/>
      <c r="FM135" s="89"/>
      <c r="FQ135" s="87" t="s">
        <v>162</v>
      </c>
    </row>
    <row r="136" spans="1:173" s="78" customFormat="1" ht="13.5" customHeight="1" x14ac:dyDescent="0.2">
      <c r="A136" s="447"/>
      <c r="B136" s="126" t="s">
        <v>392</v>
      </c>
      <c r="C136" s="325"/>
      <c r="D136" s="441"/>
      <c r="E136" s="441"/>
      <c r="F136" s="441"/>
      <c r="G136" s="438"/>
      <c r="H136" s="200"/>
      <c r="I136" s="428"/>
      <c r="J136" s="601"/>
      <c r="K136" s="497"/>
      <c r="L136" s="497"/>
      <c r="M136" s="497"/>
      <c r="N136" s="497"/>
      <c r="O136" s="510"/>
      <c r="P136" s="497"/>
      <c r="Q136" s="572"/>
      <c r="R136" s="130"/>
      <c r="S136" s="178"/>
      <c r="T136" s="178"/>
      <c r="U136" s="178"/>
      <c r="V136" s="178" t="str">
        <f t="shared" si="31"/>
        <v/>
      </c>
      <c r="W136" s="178"/>
      <c r="X136" s="178"/>
      <c r="Y136" s="178"/>
      <c r="Z136" s="131" t="str">
        <f>IFERROR(IF(AND(S135="Probabilidad",S136="Probabilidad"),(Z135-(+Z135*V136)),IF(S136="Probabilidad",(L135-(+L135*V136)),IF(S136="Impacto",Z135,""))),"")</f>
        <v/>
      </c>
      <c r="AA136" s="219"/>
      <c r="AB136" s="219"/>
      <c r="AC136" s="497"/>
      <c r="AD136" s="182" t="str">
        <f t="shared" si="32"/>
        <v/>
      </c>
      <c r="AE136" s="219"/>
      <c r="AF136" s="219"/>
      <c r="AG136" s="497"/>
      <c r="AH136" s="497"/>
      <c r="AI136" s="497"/>
      <c r="AJ136" s="172"/>
      <c r="AK136" s="172"/>
      <c r="AL136" s="163"/>
      <c r="AM136" s="172"/>
      <c r="AN136" s="172"/>
      <c r="AO136" s="172"/>
      <c r="AP136" s="497"/>
      <c r="AQ136" s="537"/>
      <c r="FM136" s="89"/>
      <c r="FQ136" s="87" t="s">
        <v>257</v>
      </c>
    </row>
    <row r="137" spans="1:173" s="78" customFormat="1" ht="13.5" customHeight="1" thickBot="1" x14ac:dyDescent="0.25">
      <c r="A137" s="460"/>
      <c r="B137" s="126" t="s">
        <v>392</v>
      </c>
      <c r="C137" s="459"/>
      <c r="D137" s="458"/>
      <c r="E137" s="458"/>
      <c r="F137" s="458"/>
      <c r="G137" s="457"/>
      <c r="H137" s="201"/>
      <c r="I137" s="429"/>
      <c r="J137" s="602"/>
      <c r="K137" s="498"/>
      <c r="L137" s="498"/>
      <c r="M137" s="498"/>
      <c r="N137" s="498"/>
      <c r="O137" s="511"/>
      <c r="P137" s="498"/>
      <c r="Q137" s="572"/>
      <c r="R137" s="130"/>
      <c r="S137" s="178"/>
      <c r="T137" s="178"/>
      <c r="U137" s="178"/>
      <c r="V137" s="178" t="str">
        <f t="shared" si="31"/>
        <v/>
      </c>
      <c r="W137" s="178"/>
      <c r="X137" s="178"/>
      <c r="Y137" s="178"/>
      <c r="Z137" s="131" t="str">
        <f>IFERROR(IF(AND(S136="Probabilidad",S137="Probabilidad"),(Z136-(+Z136*V137)),IF(S137="Probabilidad",(L136-(+L136*V137)),IF(S137="Impacto",Z136,""))),"")</f>
        <v/>
      </c>
      <c r="AA137" s="220"/>
      <c r="AB137" s="220"/>
      <c r="AC137" s="498"/>
      <c r="AD137" s="182" t="str">
        <f t="shared" si="32"/>
        <v/>
      </c>
      <c r="AE137" s="220"/>
      <c r="AF137" s="220"/>
      <c r="AG137" s="498"/>
      <c r="AH137" s="498"/>
      <c r="AI137" s="498"/>
      <c r="AJ137" s="172"/>
      <c r="AK137" s="172"/>
      <c r="AL137" s="163"/>
      <c r="AM137" s="172"/>
      <c r="AN137" s="172"/>
      <c r="AO137" s="172"/>
      <c r="AP137" s="498"/>
      <c r="AQ137" s="538"/>
      <c r="FM137" s="89"/>
      <c r="FQ137" s="87" t="s">
        <v>170</v>
      </c>
    </row>
    <row r="138" spans="1:173" s="78" customFormat="1" ht="13.5" customHeight="1" x14ac:dyDescent="0.25">
      <c r="A138" s="446">
        <v>25</v>
      </c>
      <c r="B138" s="126" t="s">
        <v>392</v>
      </c>
      <c r="C138" s="444" t="s">
        <v>233</v>
      </c>
      <c r="D138" s="440" t="s">
        <v>398</v>
      </c>
      <c r="E138" s="440" t="s">
        <v>399</v>
      </c>
      <c r="F138" s="440" t="s">
        <v>809</v>
      </c>
      <c r="G138" s="437" t="s">
        <v>265</v>
      </c>
      <c r="H138" s="199" t="s">
        <v>255</v>
      </c>
      <c r="I138" s="427" t="s">
        <v>400</v>
      </c>
      <c r="J138" s="600">
        <v>25000</v>
      </c>
      <c r="K138" s="496" t="str">
        <f>IF(AND(J138&lt;=2),"Muy Baja",IF(AND(J138&gt;=3,J138&lt;=23),"Baja",IF(AND(J138&gt;=24,J138&lt;=499),"Media",IF(AND(J138&gt;=500,J138&lt;=4999),"Alta",IF(AND(J138&gt;=5000),"Muy Alta",FALSE)))))</f>
        <v>Muy Alta</v>
      </c>
      <c r="L138" s="496" t="str">
        <f>IF(AND(J138&lt;=2),"20%",IF(AND(J138&gt;=3,J138&lt;=23),"40%",IF(AND(J138&gt;=24,J138&lt;=499),"60%",IF(AND(J138&gt;=500,J138&lt;=4999),"80%",IF(AND(J138&gt;=5000),"100%",FALSE)))))</f>
        <v>100%</v>
      </c>
      <c r="M138" s="496" t="s">
        <v>162</v>
      </c>
      <c r="N138" s="496" t="str">
        <f>IF(AND(M138=$FQ$4),"Leve",IF(AND(M138=$FQ$5),"Menor",IF(AND(M138=$FQ$6),"Moderado",IF(AND(M138=$FQ$7),"mayor",IF(AND(M138=$FQ$8),"Catastrófico",IF(AND(M138=$FQ$10),"Leve",IF(AND(M138=$FQ$11),"Menor",IF(AND(M138=$FQ$12),"Moderado",IF(AND(M138=$FQ$13),"Mayor",IF(AND(M138=$FQ$14),"Catastrófico",FALSE))))))))))</f>
        <v>Moderado</v>
      </c>
      <c r="O138" s="509" t="str">
        <f>IF(AND(N138="Leve"),"20%",IF(AND(N138="Menor"),"40%",IF(AND(N138="Moderado"),"60%",IF(AND(N138="Mayor"),"80%",IF(AND(N138="Catastrófico"),"100%","")))))</f>
        <v>60%</v>
      </c>
      <c r="P138" s="496" t="str">
        <f>INDEX('[4]MATRIZ RIESGO'!$D$6:$H$10,MATCH(K138,'[4]MATRIZ RIESGO'!$C$6:$C$10,),MATCH(N138,'[4]MATRIZ RIESGO'!$D$5:$H$5,))</f>
        <v>Alto</v>
      </c>
      <c r="Q138" s="572">
        <v>1</v>
      </c>
      <c r="R138" s="130" t="s">
        <v>807</v>
      </c>
      <c r="S138" s="178" t="s">
        <v>237</v>
      </c>
      <c r="T138" s="178" t="s">
        <v>152</v>
      </c>
      <c r="U138" s="178" t="s">
        <v>153</v>
      </c>
      <c r="V138" s="178" t="str">
        <f>IF(AND(T138=$FS$2,U138=$FT$2),"50%",IF(AND(T138=$FS$2,U138=$FT$3),"40%",IF(AND(T138=$FS$3,U138=$FT$2),"40%",IF(AND(T138=$FS$3,U138=$FT$3),"30%",IF(AND(T138=$FS$4,U138=$FT$2),"35%",IF(AND(T138=$FS$4,U138=$FT$3),"25%",""))))))</f>
        <v>40%</v>
      </c>
      <c r="W138" s="178" t="s">
        <v>154</v>
      </c>
      <c r="X138" s="178" t="s">
        <v>155</v>
      </c>
      <c r="Y138" s="178" t="s">
        <v>156</v>
      </c>
      <c r="Z138" s="131">
        <f>IFERROR(IF(S138="Probabilidad",(L138-(+L138*V138)),IF(S138="Impacto",L138,"")),"")</f>
        <v>0.6</v>
      </c>
      <c r="AA138" s="218">
        <f>LOOKUP(2,1/(Z138:Z143&lt;&gt;""),Z138:Z143)</f>
        <v>0.6</v>
      </c>
      <c r="AB138" s="218">
        <f t="shared" ref="AB138" si="33">AA138*1</f>
        <v>0.6</v>
      </c>
      <c r="AC138" s="496" t="str">
        <f t="shared" ref="AC138" si="34">IF(AND(AB138&lt;=20%),"Muy Baja",IF(AND(AB138&gt;=21%,AB138&lt;=40%),"Baja",IF(AND(AB138&gt;=41%,AB138&lt;=60%),"Media",IF(AND(AB138&gt;=61%,AB138&lt;=80%),"Alta",IF(AND(AB138&gt;=81%,AB138&gt;=100%),"Muy Alta",FALSE)))))</f>
        <v>Media</v>
      </c>
      <c r="AD138" s="182" t="str">
        <f>IFERROR(IF(S138="Impacto",(O138-(+O138*V138)),IF(S138="Probabilidad",O138,"")),"")</f>
        <v>60%</v>
      </c>
      <c r="AE138" s="218" t="str">
        <f>LOOKUP(2,1/(AD138:AD143&lt;&gt;""),AD138:AD143)</f>
        <v>60%</v>
      </c>
      <c r="AF138" s="218">
        <f>AE138*1</f>
        <v>0.6</v>
      </c>
      <c r="AG138" s="496" t="str">
        <f t="shared" ref="AG138" si="35">CHOOSE((AF138&gt;=0%)+(AF138&gt;=21%)+(AF138&gt;=41%)+(AF138&gt;=61%)+(AF138&gt;=81%),"Leve","Menor","Moderado","Mayor","Catastrófico")</f>
        <v>Moderado</v>
      </c>
      <c r="AH138" s="496" t="str">
        <f>INDEX('[4]MATRIZ RIESGO'!$D$6:$H$10,MATCH(AC138,'[4]MATRIZ RIESGO'!$C$6:$C$10,),MATCH(AG138,'[4]MATRIZ RIESGO'!$D$5:$H$5,))</f>
        <v>Moderado</v>
      </c>
      <c r="AI138" s="496" t="s">
        <v>77</v>
      </c>
      <c r="AJ138" s="172"/>
      <c r="AK138" s="172"/>
      <c r="AL138" s="163"/>
      <c r="AM138" s="172"/>
      <c r="AN138" s="172"/>
      <c r="AO138" s="172"/>
      <c r="AP138" s="496" t="s">
        <v>401</v>
      </c>
      <c r="AQ138" s="539" t="s">
        <v>113</v>
      </c>
      <c r="FM138" s="89"/>
      <c r="FQ138" s="80"/>
    </row>
    <row r="139" spans="1:173" s="78" customFormat="1" ht="13.5" customHeight="1" x14ac:dyDescent="0.25">
      <c r="A139" s="447"/>
      <c r="B139" s="126" t="s">
        <v>392</v>
      </c>
      <c r="C139" s="325"/>
      <c r="D139" s="441"/>
      <c r="E139" s="441"/>
      <c r="F139" s="441"/>
      <c r="G139" s="438"/>
      <c r="H139" s="200"/>
      <c r="I139" s="428"/>
      <c r="J139" s="601"/>
      <c r="K139" s="497"/>
      <c r="L139" s="497"/>
      <c r="M139" s="497"/>
      <c r="N139" s="497"/>
      <c r="O139" s="510"/>
      <c r="P139" s="497"/>
      <c r="Q139" s="572"/>
      <c r="R139" s="130"/>
      <c r="S139" s="178"/>
      <c r="T139" s="178"/>
      <c r="U139" s="178"/>
      <c r="V139" s="178" t="str">
        <f t="shared" ref="V139:V143" si="36">IF(AND(T139=$FS$2,U139=$FT$2),"50%",IF(AND(T139=$FS$2,U139=$FT$3),"40%",IF(AND(T139=$FS$3,U139=$FT$2),"40%",IF(AND(T139=$FS$3,U139=$FT$3),"30%",IF(AND(T139=$FS$4,U139=$FT$2),"35%",IF(AND(T139=$FS$4,U139=$FT$3),"25%",""))))))</f>
        <v/>
      </c>
      <c r="W139" s="178"/>
      <c r="X139" s="178"/>
      <c r="Y139" s="178"/>
      <c r="Z139" s="131" t="str">
        <f>IFERROR(IF(AND(S138="Probabilidad",S139="Probabilidad"),(Z138-(+Z138*V139)),IF(S139="Probabilidad",(L138-(+L138*V139)),IF(S139="Impacto",Z138,""))),"")</f>
        <v/>
      </c>
      <c r="AA139" s="219"/>
      <c r="AB139" s="219"/>
      <c r="AC139" s="497"/>
      <c r="AD139" s="182" t="str">
        <f>IFERROR(IF(AND(S138="Impacto",V139="Impacto"),(AD138-(+AD138*V139)),IF(S139="Impacto",(O138-(+O138*V139)),IF(S139="Probabilidad",AD138,""))),"")</f>
        <v/>
      </c>
      <c r="AE139" s="219"/>
      <c r="AF139" s="219"/>
      <c r="AG139" s="497"/>
      <c r="AH139" s="497"/>
      <c r="AI139" s="497"/>
      <c r="AJ139" s="172"/>
      <c r="AK139" s="172"/>
      <c r="AL139" s="163"/>
      <c r="AM139" s="172"/>
      <c r="AN139" s="172"/>
      <c r="AO139" s="172"/>
      <c r="AP139" s="497"/>
      <c r="AQ139" s="537"/>
      <c r="FM139" s="89"/>
    </row>
    <row r="140" spans="1:173" s="78" customFormat="1" ht="13.5" customHeight="1" x14ac:dyDescent="0.25">
      <c r="A140" s="447"/>
      <c r="B140" s="126" t="s">
        <v>392</v>
      </c>
      <c r="C140" s="325"/>
      <c r="D140" s="441"/>
      <c r="E140" s="441"/>
      <c r="F140" s="441"/>
      <c r="G140" s="438"/>
      <c r="H140" s="200"/>
      <c r="I140" s="428"/>
      <c r="J140" s="601"/>
      <c r="K140" s="497"/>
      <c r="L140" s="497"/>
      <c r="M140" s="497"/>
      <c r="N140" s="497"/>
      <c r="O140" s="510"/>
      <c r="P140" s="497"/>
      <c r="Q140" s="572"/>
      <c r="R140" s="130"/>
      <c r="S140" s="178"/>
      <c r="T140" s="178"/>
      <c r="U140" s="178"/>
      <c r="V140" s="178" t="str">
        <f t="shared" si="36"/>
        <v/>
      </c>
      <c r="W140" s="178"/>
      <c r="X140" s="178"/>
      <c r="Y140" s="178"/>
      <c r="Z140" s="131" t="str">
        <f>IFERROR(IF(AND(S139="Probabilidad",S140="Probabilidad"),(Z139-(+Z139*V140)),IF(S140="Probabilidad",(L139-(+L139*V140)),IF(S140="Impacto",Z139,""))),"")</f>
        <v/>
      </c>
      <c r="AA140" s="219"/>
      <c r="AB140" s="219"/>
      <c r="AC140" s="497"/>
      <c r="AD140" s="182" t="str">
        <f t="shared" ref="AD140:AD143" si="37">IFERROR(IF(AND(S139="Impacto",V140="Impacto"),(AD139-(+AD139*V140)),IF(S140="Impacto",(O139-(+O139*V140)),IF(S140="Probabilidad",AD139,""))),"")</f>
        <v/>
      </c>
      <c r="AE140" s="219"/>
      <c r="AF140" s="219"/>
      <c r="AG140" s="497"/>
      <c r="AH140" s="497"/>
      <c r="AI140" s="497"/>
      <c r="AJ140" s="172"/>
      <c r="AK140" s="172"/>
      <c r="AL140" s="163"/>
      <c r="AM140" s="172"/>
      <c r="AN140" s="172"/>
      <c r="AO140" s="172"/>
      <c r="AP140" s="497"/>
      <c r="AQ140" s="537"/>
      <c r="FM140" s="89"/>
    </row>
    <row r="141" spans="1:173" s="78" customFormat="1" ht="13.5" customHeight="1" x14ac:dyDescent="0.25">
      <c r="A141" s="447"/>
      <c r="B141" s="126" t="s">
        <v>392</v>
      </c>
      <c r="C141" s="325"/>
      <c r="D141" s="441"/>
      <c r="E141" s="441"/>
      <c r="F141" s="441"/>
      <c r="G141" s="438"/>
      <c r="H141" s="200"/>
      <c r="I141" s="428"/>
      <c r="J141" s="601"/>
      <c r="K141" s="497"/>
      <c r="L141" s="497"/>
      <c r="M141" s="497"/>
      <c r="N141" s="497"/>
      <c r="O141" s="510"/>
      <c r="P141" s="497"/>
      <c r="Q141" s="572"/>
      <c r="R141" s="130"/>
      <c r="S141" s="178"/>
      <c r="T141" s="178"/>
      <c r="U141" s="178"/>
      <c r="V141" s="178" t="str">
        <f t="shared" si="36"/>
        <v/>
      </c>
      <c r="W141" s="178"/>
      <c r="X141" s="178"/>
      <c r="Y141" s="178"/>
      <c r="Z141" s="131" t="str">
        <f>IFERROR(IF(AND(S140="Probabilidad",S141="Probabilidad"),(Z140-(+Z140*V141)),IF(S141="Probabilidad",(L140-(+L140*V141)),IF(S141="Impacto",Z140,""))),"")</f>
        <v/>
      </c>
      <c r="AA141" s="219"/>
      <c r="AB141" s="219"/>
      <c r="AC141" s="497"/>
      <c r="AD141" s="182" t="str">
        <f t="shared" si="37"/>
        <v/>
      </c>
      <c r="AE141" s="219"/>
      <c r="AF141" s="219"/>
      <c r="AG141" s="497"/>
      <c r="AH141" s="497"/>
      <c r="AI141" s="497"/>
      <c r="AJ141" s="172"/>
      <c r="AK141" s="172"/>
      <c r="AL141" s="163"/>
      <c r="AM141" s="172"/>
      <c r="AN141" s="172"/>
      <c r="AO141" s="172"/>
      <c r="AP141" s="497"/>
      <c r="AQ141" s="537"/>
      <c r="FM141" s="89"/>
    </row>
    <row r="142" spans="1:173" s="78" customFormat="1" ht="13.5" customHeight="1" x14ac:dyDescent="0.25">
      <c r="A142" s="447"/>
      <c r="B142" s="126" t="s">
        <v>392</v>
      </c>
      <c r="C142" s="325"/>
      <c r="D142" s="441"/>
      <c r="E142" s="441"/>
      <c r="F142" s="441"/>
      <c r="G142" s="438"/>
      <c r="H142" s="200"/>
      <c r="I142" s="428"/>
      <c r="J142" s="601"/>
      <c r="K142" s="497"/>
      <c r="L142" s="497"/>
      <c r="M142" s="497"/>
      <c r="N142" s="497"/>
      <c r="O142" s="510"/>
      <c r="P142" s="497"/>
      <c r="Q142" s="572"/>
      <c r="R142" s="130"/>
      <c r="S142" s="178"/>
      <c r="T142" s="178"/>
      <c r="U142" s="178"/>
      <c r="V142" s="178" t="str">
        <f t="shared" si="36"/>
        <v/>
      </c>
      <c r="W142" s="178"/>
      <c r="X142" s="178"/>
      <c r="Y142" s="178"/>
      <c r="Z142" s="131" t="str">
        <f>IFERROR(IF(AND(S141="Probabilidad",S142="Probabilidad"),(Z141-(+Z141*V142)),IF(S142="Probabilidad",(L141-(+L141*V142)),IF(S142="Impacto",Z141,""))),"")</f>
        <v/>
      </c>
      <c r="AA142" s="219"/>
      <c r="AB142" s="219"/>
      <c r="AC142" s="497"/>
      <c r="AD142" s="182" t="str">
        <f t="shared" si="37"/>
        <v/>
      </c>
      <c r="AE142" s="219"/>
      <c r="AF142" s="219"/>
      <c r="AG142" s="497"/>
      <c r="AH142" s="497"/>
      <c r="AI142" s="497"/>
      <c r="AJ142" s="172"/>
      <c r="AK142" s="172"/>
      <c r="AL142" s="163"/>
      <c r="AM142" s="172"/>
      <c r="AN142" s="172"/>
      <c r="AO142" s="172"/>
      <c r="AP142" s="497"/>
      <c r="AQ142" s="537"/>
      <c r="FM142" s="89"/>
    </row>
    <row r="143" spans="1:173" s="78" customFormat="1" ht="13.5" customHeight="1" thickBot="1" x14ac:dyDescent="0.3">
      <c r="A143" s="460"/>
      <c r="B143" s="126" t="s">
        <v>392</v>
      </c>
      <c r="C143" s="459"/>
      <c r="D143" s="458"/>
      <c r="E143" s="458"/>
      <c r="F143" s="458"/>
      <c r="G143" s="457"/>
      <c r="H143" s="201"/>
      <c r="I143" s="429"/>
      <c r="J143" s="602"/>
      <c r="K143" s="498"/>
      <c r="L143" s="498"/>
      <c r="M143" s="498"/>
      <c r="N143" s="498"/>
      <c r="O143" s="511"/>
      <c r="P143" s="498"/>
      <c r="Q143" s="572"/>
      <c r="R143" s="130"/>
      <c r="S143" s="178"/>
      <c r="T143" s="178"/>
      <c r="U143" s="178"/>
      <c r="V143" s="178" t="str">
        <f t="shared" si="36"/>
        <v/>
      </c>
      <c r="W143" s="178"/>
      <c r="X143" s="178"/>
      <c r="Y143" s="178"/>
      <c r="Z143" s="131" t="str">
        <f>IFERROR(IF(AND(S142="Probabilidad",S143="Probabilidad"),(Z142-(+Z142*V143)),IF(S143="Probabilidad",(L142-(+L142*V143)),IF(S143="Impacto",Z142,""))),"")</f>
        <v/>
      </c>
      <c r="AA143" s="220"/>
      <c r="AB143" s="220"/>
      <c r="AC143" s="498"/>
      <c r="AD143" s="182" t="str">
        <f t="shared" si="37"/>
        <v/>
      </c>
      <c r="AE143" s="220"/>
      <c r="AF143" s="220"/>
      <c r="AG143" s="498"/>
      <c r="AH143" s="498"/>
      <c r="AI143" s="498"/>
      <c r="AJ143" s="172"/>
      <c r="AK143" s="172"/>
      <c r="AL143" s="163"/>
      <c r="AM143" s="172"/>
      <c r="AN143" s="172"/>
      <c r="AO143" s="172"/>
      <c r="AP143" s="498"/>
      <c r="AQ143" s="538"/>
      <c r="FM143" s="89"/>
      <c r="FQ143" s="79"/>
    </row>
    <row r="144" spans="1:173" s="78" customFormat="1" ht="13.5" customHeight="1" x14ac:dyDescent="0.25">
      <c r="A144" s="446">
        <v>26</v>
      </c>
      <c r="B144" s="126" t="s">
        <v>392</v>
      </c>
      <c r="C144" s="444" t="s">
        <v>248</v>
      </c>
      <c r="D144" s="440" t="s">
        <v>402</v>
      </c>
      <c r="E144" s="440" t="s">
        <v>403</v>
      </c>
      <c r="F144" s="440" t="s">
        <v>404</v>
      </c>
      <c r="G144" s="437" t="s">
        <v>149</v>
      </c>
      <c r="H144" s="199" t="s">
        <v>150</v>
      </c>
      <c r="I144" s="427" t="s">
        <v>151</v>
      </c>
      <c r="J144" s="600">
        <v>125</v>
      </c>
      <c r="K144" s="496" t="str">
        <f>IF(AND(J144&lt;=2),"Muy Baja",IF(AND(J144&gt;=3,J144&lt;=23),"Baja",IF(AND(J144&gt;=24,J144&lt;=499),"Media",IF(AND(J144&gt;=500,J144&lt;=4999),"Alta",IF(AND(J144&gt;=5000),"Muy Alta",FALSE)))))</f>
        <v>Media</v>
      </c>
      <c r="L144" s="496" t="str">
        <f>IF(AND(J144&lt;=2),"20%",IF(AND(J144&gt;=3,J144&lt;=23),"40%",IF(AND(J144&gt;=24,J144&lt;=499),"60%",IF(AND(J144&gt;=500,J144&lt;=4999),"80%",IF(AND(J144&gt;=5000),"100%",FALSE)))))</f>
        <v>60%</v>
      </c>
      <c r="M144" s="496" t="s">
        <v>162</v>
      </c>
      <c r="N144" s="496" t="str">
        <f>IF(AND(M144=$FQ$4),"Leve",IF(AND(M144=$FQ$5),"Menor",IF(AND(M144=$FQ$6),"Moderado",IF(AND(M144=$FQ$7),"mayor",IF(AND(M144=$FQ$8),"Catastrófico",IF(AND(M144=$FQ$10),"Leve",IF(AND(M144=$FQ$11),"Menor",IF(AND(M144=$FQ$12),"Moderado",IF(AND(M144=$FQ$13),"Mayor",IF(AND(M144=$FQ$14),"Catastrófico",FALSE))))))))))</f>
        <v>Moderado</v>
      </c>
      <c r="O144" s="509" t="str">
        <f>IF(AND(N144="Leve"),"20%",IF(AND(N144="Menor"),"40%",IF(AND(N144="Moderado"),"60%",IF(AND(N144="Mayor"),"80%",IF(AND(N144="Catastrófico"),"100%","")))))</f>
        <v>60%</v>
      </c>
      <c r="P144" s="496" t="str">
        <f>INDEX('[4]MATRIZ RIESGO'!$D$6:$H$10,MATCH(K144,'[4]MATRIZ RIESGO'!$C$6:$C$10,),MATCH(N144,'[4]MATRIZ RIESGO'!$D$5:$H$5,))</f>
        <v>Moderado</v>
      </c>
      <c r="Q144" s="572">
        <v>1</v>
      </c>
      <c r="R144" s="130" t="s">
        <v>810</v>
      </c>
      <c r="S144" s="178" t="s">
        <v>237</v>
      </c>
      <c r="T144" s="178" t="s">
        <v>152</v>
      </c>
      <c r="U144" s="178" t="s">
        <v>153</v>
      </c>
      <c r="V144" s="178" t="str">
        <f>IF(AND(T144=$FS$2,U144=$FT$2),"50%",IF(AND(T144=$FS$2,U144=$FT$3),"40%",IF(AND(T144=$FS$3,U144=$FT$2),"40%",IF(AND(T144=$FS$3,U144=$FT$3),"30%",IF(AND(T144=$FS$4,U144=$FT$2),"35%",IF(AND(T144=$FS$4,U144=$FT$3),"25%",""))))))</f>
        <v>40%</v>
      </c>
      <c r="W144" s="178" t="s">
        <v>154</v>
      </c>
      <c r="X144" s="178" t="s">
        <v>155</v>
      </c>
      <c r="Y144" s="178" t="s">
        <v>156</v>
      </c>
      <c r="Z144" s="131">
        <f>IFERROR(IF(S144="Probabilidad",(L144-(+L144*V144)),IF(S144="Impacto",L144,"")),"")</f>
        <v>0.36</v>
      </c>
      <c r="AA144" s="218">
        <f>LOOKUP(2,1/(Z144:Z149&lt;&gt;""),Z144:Z149)</f>
        <v>0.12959999999999999</v>
      </c>
      <c r="AB144" s="218">
        <f t="shared" ref="AB144" si="38">AA144*1</f>
        <v>0.12959999999999999</v>
      </c>
      <c r="AC144" s="496" t="str">
        <f t="shared" ref="AC144" si="39">IF(AND(AB144&lt;=20%),"Muy Baja",IF(AND(AB144&gt;=21%,AB144&lt;=40%),"Baja",IF(AND(AB144&gt;=41%,AB144&lt;=60%),"Media",IF(AND(AB144&gt;=61%,AB144&lt;=80%),"Alta",IF(AND(AB144&gt;=81%,AB144&gt;=100%),"Muy Alta",FALSE)))))</f>
        <v>Muy Baja</v>
      </c>
      <c r="AD144" s="182" t="str">
        <f>IFERROR(IF(S144="Impacto",(O144-(+O144*V144)),IF(S144="Probabilidad",O144,"")),"")</f>
        <v>60%</v>
      </c>
      <c r="AE144" s="218" t="str">
        <f>LOOKUP(2,1/(AD144:AD149&lt;&gt;""),AD144:AD149)</f>
        <v>60%</v>
      </c>
      <c r="AF144" s="218">
        <f>AE144*1</f>
        <v>0.6</v>
      </c>
      <c r="AG144" s="496" t="str">
        <f t="shared" ref="AG144" si="40">CHOOSE((AF144&gt;=0%)+(AF144&gt;=21%)+(AF144&gt;=41%)+(AF144&gt;=61%)+(AF144&gt;=81%),"Leve","Menor","Moderado","Mayor","Catastrófico")</f>
        <v>Moderado</v>
      </c>
      <c r="AH144" s="496" t="str">
        <f>INDEX('[4]MATRIZ RIESGO'!$D$6:$H$10,MATCH(AC144,'[4]MATRIZ RIESGO'!$C$6:$C$10,),MATCH(AG144,'[4]MATRIZ RIESGO'!$D$5:$H$5,))</f>
        <v>Moderado</v>
      </c>
      <c r="AI144" s="496" t="s">
        <v>77</v>
      </c>
      <c r="AJ144" s="172"/>
      <c r="AK144" s="172"/>
      <c r="AL144" s="163"/>
      <c r="AM144" s="172"/>
      <c r="AN144" s="172"/>
      <c r="AO144" s="172"/>
      <c r="AP144" s="496" t="s">
        <v>734</v>
      </c>
      <c r="AQ144" s="539" t="s">
        <v>113</v>
      </c>
      <c r="FM144" s="89"/>
      <c r="FQ144" s="80"/>
    </row>
    <row r="145" spans="1:173" s="78" customFormat="1" ht="13.5" customHeight="1" x14ac:dyDescent="0.25">
      <c r="A145" s="447"/>
      <c r="B145" s="126" t="s">
        <v>392</v>
      </c>
      <c r="C145" s="325"/>
      <c r="D145" s="441"/>
      <c r="E145" s="441"/>
      <c r="F145" s="441"/>
      <c r="G145" s="438"/>
      <c r="H145" s="200"/>
      <c r="I145" s="428"/>
      <c r="J145" s="601"/>
      <c r="K145" s="497"/>
      <c r="L145" s="497"/>
      <c r="M145" s="497"/>
      <c r="N145" s="497"/>
      <c r="O145" s="510"/>
      <c r="P145" s="497"/>
      <c r="Q145" s="572">
        <v>2</v>
      </c>
      <c r="R145" s="130" t="s">
        <v>811</v>
      </c>
      <c r="S145" s="178" t="s">
        <v>237</v>
      </c>
      <c r="T145" s="178" t="s">
        <v>152</v>
      </c>
      <c r="U145" s="178" t="s">
        <v>153</v>
      </c>
      <c r="V145" s="178" t="str">
        <f t="shared" ref="V145:V149" si="41">IF(AND(T145=$FS$2,U145=$FT$2),"50%",IF(AND(T145=$FS$2,U145=$FT$3),"40%",IF(AND(T145=$FS$3,U145=$FT$2),"40%",IF(AND(T145=$FS$3,U145=$FT$3),"30%",IF(AND(T145=$FS$4,U145=$FT$2),"35%",IF(AND(T145=$FS$4,U145=$FT$3),"25%",""))))))</f>
        <v>40%</v>
      </c>
      <c r="W145" s="178" t="s">
        <v>154</v>
      </c>
      <c r="X145" s="178" t="s">
        <v>155</v>
      </c>
      <c r="Y145" s="178" t="s">
        <v>156</v>
      </c>
      <c r="Z145" s="131">
        <f>IFERROR(IF(AND(S144="Probabilidad",S145="Probabilidad"),(Z144-(+Z144*V145)),IF(S145="Probabilidad",(L144-(+L144*V145)),IF(S145="Impacto",Z144,""))),"")</f>
        <v>0.216</v>
      </c>
      <c r="AA145" s="219"/>
      <c r="AB145" s="219"/>
      <c r="AC145" s="497"/>
      <c r="AD145" s="182" t="str">
        <f>IFERROR(IF(AND(S144="Impacto",V145="Impacto"),(AD144-(+AD144*V145)),IF(S145="Impacto",(O144-(+O144*V145)),IF(S145="Probabilidad",AD144,""))),"")</f>
        <v>60%</v>
      </c>
      <c r="AE145" s="219"/>
      <c r="AF145" s="219"/>
      <c r="AG145" s="497"/>
      <c r="AH145" s="497"/>
      <c r="AI145" s="497"/>
      <c r="AJ145" s="172"/>
      <c r="AK145" s="172"/>
      <c r="AL145" s="163"/>
      <c r="AM145" s="172"/>
      <c r="AN145" s="172"/>
      <c r="AO145" s="172"/>
      <c r="AP145" s="497"/>
      <c r="AQ145" s="537"/>
      <c r="FM145" s="89"/>
    </row>
    <row r="146" spans="1:173" s="78" customFormat="1" ht="13.5" customHeight="1" x14ac:dyDescent="0.25">
      <c r="A146" s="447"/>
      <c r="B146" s="126" t="s">
        <v>392</v>
      </c>
      <c r="C146" s="325"/>
      <c r="D146" s="441"/>
      <c r="E146" s="441"/>
      <c r="F146" s="441"/>
      <c r="G146" s="438"/>
      <c r="H146" s="200"/>
      <c r="I146" s="428"/>
      <c r="J146" s="601"/>
      <c r="K146" s="497"/>
      <c r="L146" s="497"/>
      <c r="M146" s="497"/>
      <c r="N146" s="497"/>
      <c r="O146" s="510"/>
      <c r="P146" s="497"/>
      <c r="Q146" s="572">
        <v>3</v>
      </c>
      <c r="R146" s="130" t="s">
        <v>405</v>
      </c>
      <c r="S146" s="178" t="s">
        <v>237</v>
      </c>
      <c r="T146" s="178" t="s">
        <v>152</v>
      </c>
      <c r="U146" s="178" t="s">
        <v>153</v>
      </c>
      <c r="V146" s="178" t="str">
        <f t="shared" si="41"/>
        <v>40%</v>
      </c>
      <c r="W146" s="178" t="s">
        <v>154</v>
      </c>
      <c r="X146" s="178" t="s">
        <v>155</v>
      </c>
      <c r="Y146" s="178" t="s">
        <v>156</v>
      </c>
      <c r="Z146" s="131">
        <f>IFERROR(IF(AND(S145="Probabilidad",S146="Probabilidad"),(Z145-(+Z145*V146)),IF(S146="Probabilidad",(L145-(+L145*V146)),IF(S146="Impacto",Z145,""))),"")</f>
        <v>0.12959999999999999</v>
      </c>
      <c r="AA146" s="219"/>
      <c r="AB146" s="219"/>
      <c r="AC146" s="497"/>
      <c r="AD146" s="182" t="str">
        <f t="shared" ref="AD146:AD149" si="42">IFERROR(IF(AND(S145="Impacto",V146="Impacto"),(AD145-(+AD145*V146)),IF(S146="Impacto",(O145-(+O145*V146)),IF(S146="Probabilidad",AD145,""))),"")</f>
        <v>60%</v>
      </c>
      <c r="AE146" s="219"/>
      <c r="AF146" s="219"/>
      <c r="AG146" s="497"/>
      <c r="AH146" s="497"/>
      <c r="AI146" s="497"/>
      <c r="AJ146" s="172"/>
      <c r="AK146" s="172"/>
      <c r="AL146" s="163"/>
      <c r="AM146" s="172"/>
      <c r="AN146" s="172"/>
      <c r="AO146" s="172"/>
      <c r="AP146" s="497"/>
      <c r="AQ146" s="537"/>
      <c r="FM146" s="89"/>
    </row>
    <row r="147" spans="1:173" s="78" customFormat="1" ht="13.5" customHeight="1" x14ac:dyDescent="0.25">
      <c r="A147" s="447"/>
      <c r="B147" s="126" t="s">
        <v>392</v>
      </c>
      <c r="C147" s="325"/>
      <c r="D147" s="441"/>
      <c r="E147" s="441"/>
      <c r="F147" s="441"/>
      <c r="G147" s="438"/>
      <c r="H147" s="200"/>
      <c r="I147" s="428"/>
      <c r="J147" s="601"/>
      <c r="K147" s="497"/>
      <c r="L147" s="497"/>
      <c r="M147" s="497"/>
      <c r="N147" s="497"/>
      <c r="O147" s="510"/>
      <c r="P147" s="497"/>
      <c r="Q147" s="572"/>
      <c r="R147" s="130"/>
      <c r="S147" s="178"/>
      <c r="T147" s="178"/>
      <c r="U147" s="178"/>
      <c r="V147" s="178" t="str">
        <f t="shared" si="41"/>
        <v/>
      </c>
      <c r="W147" s="178"/>
      <c r="X147" s="178"/>
      <c r="Y147" s="178"/>
      <c r="Z147" s="131" t="str">
        <f>IFERROR(IF(AND(S146="Probabilidad",S147="Probabilidad"),(Z146-(+Z146*V147)),IF(S147="Probabilidad",(L146-(+L146*V147)),IF(S147="Impacto",Z146,""))),"")</f>
        <v/>
      </c>
      <c r="AA147" s="219"/>
      <c r="AB147" s="219"/>
      <c r="AC147" s="497"/>
      <c r="AD147" s="182" t="str">
        <f t="shared" si="42"/>
        <v/>
      </c>
      <c r="AE147" s="219"/>
      <c r="AF147" s="219"/>
      <c r="AG147" s="497"/>
      <c r="AH147" s="497"/>
      <c r="AI147" s="497"/>
      <c r="AJ147" s="172"/>
      <c r="AK147" s="172"/>
      <c r="AL147" s="163"/>
      <c r="AM147" s="172"/>
      <c r="AN147" s="172"/>
      <c r="AO147" s="172"/>
      <c r="AP147" s="497"/>
      <c r="AQ147" s="537"/>
      <c r="FM147" s="89"/>
    </row>
    <row r="148" spans="1:173" s="78" customFormat="1" ht="13.5" customHeight="1" x14ac:dyDescent="0.25">
      <c r="A148" s="447"/>
      <c r="B148" s="126" t="s">
        <v>392</v>
      </c>
      <c r="C148" s="325"/>
      <c r="D148" s="441"/>
      <c r="E148" s="441"/>
      <c r="F148" s="441"/>
      <c r="G148" s="438"/>
      <c r="H148" s="200"/>
      <c r="I148" s="428"/>
      <c r="J148" s="601"/>
      <c r="K148" s="497"/>
      <c r="L148" s="497"/>
      <c r="M148" s="497"/>
      <c r="N148" s="497"/>
      <c r="O148" s="510"/>
      <c r="P148" s="497"/>
      <c r="Q148" s="572"/>
      <c r="R148" s="130"/>
      <c r="S148" s="178"/>
      <c r="T148" s="178"/>
      <c r="U148" s="178"/>
      <c r="V148" s="178" t="str">
        <f t="shared" si="41"/>
        <v/>
      </c>
      <c r="W148" s="178"/>
      <c r="X148" s="178"/>
      <c r="Y148" s="178"/>
      <c r="Z148" s="131" t="str">
        <f>IFERROR(IF(AND(S147="Probabilidad",S148="Probabilidad"),(Z147-(+Z147*V148)),IF(S148="Probabilidad",(L147-(+L147*V148)),IF(S148="Impacto",Z147,""))),"")</f>
        <v/>
      </c>
      <c r="AA148" s="219"/>
      <c r="AB148" s="219"/>
      <c r="AC148" s="497"/>
      <c r="AD148" s="182" t="str">
        <f t="shared" si="42"/>
        <v/>
      </c>
      <c r="AE148" s="219"/>
      <c r="AF148" s="219"/>
      <c r="AG148" s="497"/>
      <c r="AH148" s="497"/>
      <c r="AI148" s="497"/>
      <c r="AJ148" s="172"/>
      <c r="AK148" s="172"/>
      <c r="AL148" s="163"/>
      <c r="AM148" s="172"/>
      <c r="AN148" s="172"/>
      <c r="AO148" s="172"/>
      <c r="AP148" s="497"/>
      <c r="AQ148" s="537"/>
      <c r="FM148" s="89"/>
    </row>
    <row r="149" spans="1:173" s="78" customFormat="1" ht="13.5" customHeight="1" thickBot="1" x14ac:dyDescent="0.3">
      <c r="A149" s="448"/>
      <c r="B149" s="126" t="s">
        <v>392</v>
      </c>
      <c r="C149" s="445"/>
      <c r="D149" s="443"/>
      <c r="E149" s="443"/>
      <c r="F149" s="443"/>
      <c r="G149" s="439"/>
      <c r="H149" s="201"/>
      <c r="I149" s="429"/>
      <c r="J149" s="602"/>
      <c r="K149" s="498"/>
      <c r="L149" s="498"/>
      <c r="M149" s="498"/>
      <c r="N149" s="498"/>
      <c r="O149" s="511"/>
      <c r="P149" s="498"/>
      <c r="Q149" s="572"/>
      <c r="R149" s="130"/>
      <c r="S149" s="178"/>
      <c r="T149" s="178"/>
      <c r="U149" s="178"/>
      <c r="V149" s="178" t="str">
        <f t="shared" si="41"/>
        <v/>
      </c>
      <c r="W149" s="178"/>
      <c r="X149" s="178"/>
      <c r="Y149" s="178"/>
      <c r="Z149" s="131" t="str">
        <f>IFERROR(IF(AND(S148="Probabilidad",S149="Probabilidad"),(Z148-(+Z148*V149)),IF(S149="Probabilidad",(L148-(+L148*V149)),IF(S149="Impacto",Z148,""))),"")</f>
        <v/>
      </c>
      <c r="AA149" s="220"/>
      <c r="AB149" s="220"/>
      <c r="AC149" s="498"/>
      <c r="AD149" s="182" t="str">
        <f t="shared" si="42"/>
        <v/>
      </c>
      <c r="AE149" s="220"/>
      <c r="AF149" s="220"/>
      <c r="AG149" s="498"/>
      <c r="AH149" s="498"/>
      <c r="AI149" s="498"/>
      <c r="AJ149" s="172"/>
      <c r="AK149" s="172"/>
      <c r="AL149" s="163"/>
      <c r="AM149" s="172"/>
      <c r="AN149" s="172"/>
      <c r="AO149" s="172"/>
      <c r="AP149" s="498"/>
      <c r="AQ149" s="538"/>
      <c r="FM149" s="89"/>
      <c r="FQ149" s="79"/>
    </row>
    <row r="150" spans="1:173" s="78" customFormat="1" ht="13.5" customHeight="1" x14ac:dyDescent="0.25">
      <c r="A150" s="199">
        <v>27</v>
      </c>
      <c r="B150" s="128" t="s">
        <v>413</v>
      </c>
      <c r="C150" s="199" t="s">
        <v>260</v>
      </c>
      <c r="D150" s="199" t="s">
        <v>414</v>
      </c>
      <c r="E150" s="199" t="s">
        <v>415</v>
      </c>
      <c r="F150" s="199" t="s">
        <v>416</v>
      </c>
      <c r="G150" s="199" t="s">
        <v>265</v>
      </c>
      <c r="H150" s="199" t="s">
        <v>255</v>
      </c>
      <c r="I150" s="531" t="s">
        <v>417</v>
      </c>
      <c r="J150" s="530">
        <v>365</v>
      </c>
      <c r="K150" s="496" t="str">
        <f>IF(AND(J150&lt;=2),"Muy Baja",IF(AND(J150&gt;=3,J150&lt;=23),"Baja",IF(AND(J150&gt;=24,J150&lt;=499),"Media",IF(AND(J150&gt;=500,J150&lt;=4999),"Alta",IF(AND(J150&gt;=5000),"Muy Alta",FALSE)))))</f>
        <v>Media</v>
      </c>
      <c r="L150" s="496" t="str">
        <f>IF(AND(J150&lt;=2),"20%",IF(AND(J150&gt;=3,J150&lt;=23),"40%",IF(AND(J150&gt;=24,J150&lt;=499),"60%",IF(AND(J150&gt;=500,J150&lt;=4999),"80%",IF(AND(J150&gt;=5000),"100%",FALSE)))))</f>
        <v>60%</v>
      </c>
      <c r="M150" s="496" t="s">
        <v>160</v>
      </c>
      <c r="N150" s="496" t="str">
        <f>IF(AND(M150=$FQ$4),"Leve",IF(AND(M150=$FQ$5),"Menor",IF(AND(M150=$FQ$6),"Moderado",IF(AND(M150=$FQ$7),"mayor",IF(AND(M150=$FQ$8),"Catastrófico",IF(AND(M150=$FQ$10),"Leve",IF(AND(M150=$FQ$11),"Menor",IF(AND(M150=$FQ$12),"Moderado",IF(AND(M150=$FQ$13),"Mayor",IF(AND(M150=$FQ$14),"Catastrófico",FALSE))))))))))</f>
        <v>Menor</v>
      </c>
      <c r="O150" s="509" t="str">
        <f>IF(AND(N150="Leve"),"20%",IF(AND(N150="Menor"),"40%",IF(AND(N150="Moderado"),"60%",IF(AND(N150="Mayor"),"80%",IF(AND(N150="Catastrófico"),"100%","")))))</f>
        <v>40%</v>
      </c>
      <c r="P150" s="496" t="str">
        <f>IF(AND(L150&lt;="40%",O150="20%"),"Bajo",IF(AND(L150="60%",O150="20%"),"Moderado",IF(AND(L150="80%",O150="20%"),"Moderado",IF(AND(L150="100%",O150="20%"),"Alto",IF(AND(L150="20%",O150="40%"),"Bajo",IF(AND(L150="40%",O150="40%"),"Moderado",IF(AND(L150="60%",O150="40%"),"Moderado",IF(AND(L150="80%",O150="40%"),"Moderado",IF(AND(L150="100%",O150="40%"),"Alto",IF(AND(L150="20%",O150="60%"),"Moderado",IF(AND(L150="40%",O150="60%"),"Moderado",IF(AND(L150="60%",O150="60%"),"Moderado",IF(AND(L150="80%",O150="60%"),"Alto",IF(AND(L150="100%",O150="60%"),"Alto",IF(AND(L150="20%",O150="80%"),"Alto",IF(AND(L150="40%",O150="80%"),"Alto",IF(AND(L150="60%",O150="80%"),"Alto",IF(AND(L150="80%",O150="80%"),"Alto",IF(AND(L150="100%",O150="80%"),"Alto",IF(AND(L150="20%",O150="100%"),"Extremo",IF(AND(L150="40%",O150="100%"),"Extremo",IF(AND(L150="60%",O150="100%"),"Extremo",IF(AND(L150="80%",O150="100%"),"Moderado",IF(AND(L150="100%",O150="100%"),"Extremo",""""))))))))))))))))))))))))</f>
        <v>Moderado</v>
      </c>
      <c r="Q150" s="130">
        <v>1</v>
      </c>
      <c r="R150" s="136" t="s">
        <v>418</v>
      </c>
      <c r="S150" s="178" t="s">
        <v>237</v>
      </c>
      <c r="T150" s="178" t="s">
        <v>152</v>
      </c>
      <c r="U150" s="178" t="s">
        <v>153</v>
      </c>
      <c r="V150" s="178" t="str">
        <f>IF(AND(T150=$FS$2,U150=$FT$2),"50%",IF(AND(T150=$FS$2,U150=$FT$3),"40%",IF(AND(T150=$FS$3,U150=$FT$2),"40%",IF(AND(T150=$FS$3,U150=$FT$3),"30%",IF(AND(T150=$FS$4,U150=$FT$2),"35%",IF(AND(T150=$FS$4,U150=$FT$3),"25%",""))))))</f>
        <v>40%</v>
      </c>
      <c r="W150" s="178" t="s">
        <v>154</v>
      </c>
      <c r="X150" s="178" t="s">
        <v>155</v>
      </c>
      <c r="Y150" s="178" t="s">
        <v>156</v>
      </c>
      <c r="Z150" s="131">
        <f>IFERROR(IF(S150="Probabilidad",(L150-(+L150*V150)),IF(S150="Impacto",L150,"")),"")</f>
        <v>0.36</v>
      </c>
      <c r="AA150" s="218">
        <f>LOOKUP(2,1/(Z150:Z155&lt;&gt;""),Z150:Z155)</f>
        <v>0.36</v>
      </c>
      <c r="AB150" s="218">
        <f>AA150*1</f>
        <v>0.36</v>
      </c>
      <c r="AC150" s="496" t="str">
        <f>IF(AND(AA150&lt;=20%),"Muy Baja",IF(AND(AA150&gt;=21%,AA150&lt;=40%),"Baja",IF(AND(AA150&gt;=41%,AA150&lt;=60%),"Media",IF(AND(AA150&gt;=61%,AA150&lt;=80%),"Alta",IF(AND(AA150&gt;=81%,AA150&gt;=100%),"Muy Alta",FALSE)))))</f>
        <v>Baja</v>
      </c>
      <c r="AD150" s="182" t="str">
        <f>IFERROR(IF(S150="Impacto",(O150-(+O150*V150)),IF(S150="Probabilidad",O150,"")),"")</f>
        <v>40%</v>
      </c>
      <c r="AE150" s="218" t="str">
        <f>LOOKUP(2,1/(AD150:AD155&lt;&gt;""),AD150:AD155)</f>
        <v>40%</v>
      </c>
      <c r="AF150" s="218">
        <f>AE150*1</f>
        <v>0.4</v>
      </c>
      <c r="AG150" s="496" t="str">
        <f>IF(AND(AE150&lt;=20%),"Leve",IF(AND(AE150&gt;=21%,AE150&lt;="40%"),"Menor",IF(AND(AE150&gt;=41%,AE150&lt;=60%),"Moderado",IF(AND(AE150&gt;=61%,AE150&lt;=80%),"Mayor",IF(AND(AE150&gt;=81%,AE150&gt;=100%),"Catastrófico",FALSE)))))</f>
        <v>Menor</v>
      </c>
      <c r="AH150" s="496" t="str">
        <f>IF(OR(AND(AC150="Media",AG150="Leve"),AND(AC150="Alta",AG150="Leve"),AND(AC150="Alta",AG150="Menor"),AND(AC150="Media",AG150="Menor"),AND(AC150="Baja",AG150="Menor"),AND(AC150="Media",AG150="Moderado"),AND(AC150="Baja",AG150="Moderado"),AND(AC150="Muy Baja",AG150="Moderado")),"Moderado",IF(OR(AND(AC150="Baja",AG150="Leve"),AND(AC150="Muy Baja",AG150="Leve"),AND(AC150="Muy Baja",AG150="Menor")),"Bajo",IF(OR(AND(AC150="Muy Alta",AG150="Leve"),AND(AC150="Muy Alta",AG150="Menor"),AND(AC150="Muy Alta",AG150="Moderado"),AND(AC150="Alta",AG150="Moderado"),AND(AC150="Muy Alta",AG150="Mayor"),AND(AC150="Alta",AG150="Mayor"),AND(AC150="Media",AG150="Mayor"),AND(AC150="Baja",AG150="Mayor"),AND(AC150="Muy Baja",AG150="Mayor")),"Alto",IF(OR(AND(AC150="Alta",AG150="Catastrófico"),AND(AC150="Muy Alta",AG150="Catastrófico"),AND(AC150="Media",AG150="Catastrófico"),AND(AC150="Baja",AG150="Catastrófico"),AND(AC150="Muy Baja",AG150="Catastrófico")),"Extremo",IF(AG150="Catastrófico","Extremo")))))</f>
        <v>Moderado</v>
      </c>
      <c r="AI150" s="496" t="s">
        <v>111</v>
      </c>
      <c r="AJ150" s="178"/>
      <c r="AK150" s="178"/>
      <c r="AL150" s="152"/>
      <c r="AM150" s="178"/>
      <c r="AN150" s="178"/>
      <c r="AO150" s="178"/>
      <c r="AP150" s="496" t="s">
        <v>419</v>
      </c>
      <c r="AQ150" s="539" t="s">
        <v>113</v>
      </c>
      <c r="FM150" s="89"/>
      <c r="FP150" s="78" t="s">
        <v>255</v>
      </c>
      <c r="FQ150" s="80" t="s">
        <v>256</v>
      </c>
    </row>
    <row r="151" spans="1:173" s="78" customFormat="1" ht="13.5" customHeight="1" x14ac:dyDescent="0.2">
      <c r="A151" s="200"/>
      <c r="B151" s="128" t="s">
        <v>413</v>
      </c>
      <c r="C151" s="200"/>
      <c r="D151" s="200"/>
      <c r="E151" s="200"/>
      <c r="F151" s="200"/>
      <c r="G151" s="200"/>
      <c r="H151" s="200"/>
      <c r="I151" s="200"/>
      <c r="J151" s="203"/>
      <c r="K151" s="497"/>
      <c r="L151" s="497"/>
      <c r="M151" s="497"/>
      <c r="N151" s="497"/>
      <c r="O151" s="510"/>
      <c r="P151" s="497"/>
      <c r="Q151" s="130"/>
      <c r="R151" s="137"/>
      <c r="S151" s="178"/>
      <c r="T151" s="178"/>
      <c r="U151" s="178"/>
      <c r="V151" s="178" t="str">
        <f t="shared" ref="V151:V155" si="43">IF(AND(T151=$FS$2,U151=$FT$2),"50%",IF(AND(T151=$FS$2,U151=$FT$3),"40%",IF(AND(T151=$FS$3,U151=$FT$2),"40%",IF(AND(T151=$FS$3,U151=$FT$3),"30%",IF(AND(T151=$FS$4,U151=$FT$2),"35%",IF(AND(T151=$FS$4,U151=$FT$3),"25%",""))))))</f>
        <v/>
      </c>
      <c r="W151" s="178"/>
      <c r="X151" s="178"/>
      <c r="Y151" s="178"/>
      <c r="Z151" s="131" t="str">
        <f>IFERROR(IF(AND(S150="Probabilidad",S151="Probabilidad"),(Z150-(+Z150*V151)),IF(S151="Probabilidad",(L150-(+L150*V151)),IF(S151="Impacto",Z150,""))),"")</f>
        <v/>
      </c>
      <c r="AA151" s="219"/>
      <c r="AB151" s="219"/>
      <c r="AC151" s="497"/>
      <c r="AD151" s="182" t="str">
        <f>IFERROR(IF(AND(S150="Impacto",V151="Impacto"),(AD150-(+AD150*V151)),IF(S151="Impacto",(O150-(+O150*V151)),IF(S151="Probabilidad",AD150,""))),"")</f>
        <v/>
      </c>
      <c r="AE151" s="219"/>
      <c r="AF151" s="219"/>
      <c r="AG151" s="497"/>
      <c r="AH151" s="497"/>
      <c r="AI151" s="497"/>
      <c r="AJ151" s="178"/>
      <c r="AK151" s="178"/>
      <c r="AL151" s="152"/>
      <c r="AM151" s="178"/>
      <c r="AN151" s="178"/>
      <c r="AO151" s="178"/>
      <c r="AP151" s="497"/>
      <c r="AQ151" s="537"/>
      <c r="FM151" s="89"/>
      <c r="FP151" s="78" t="s">
        <v>196</v>
      </c>
      <c r="FQ151" s="87" t="s">
        <v>158</v>
      </c>
    </row>
    <row r="152" spans="1:173" s="78" customFormat="1" ht="13.5" customHeight="1" x14ac:dyDescent="0.2">
      <c r="A152" s="200"/>
      <c r="B152" s="128" t="s">
        <v>413</v>
      </c>
      <c r="C152" s="200"/>
      <c r="D152" s="200"/>
      <c r="E152" s="200"/>
      <c r="F152" s="200"/>
      <c r="G152" s="200"/>
      <c r="H152" s="200"/>
      <c r="I152" s="200"/>
      <c r="J152" s="203"/>
      <c r="K152" s="497"/>
      <c r="L152" s="497"/>
      <c r="M152" s="497"/>
      <c r="N152" s="497"/>
      <c r="O152" s="510"/>
      <c r="P152" s="497"/>
      <c r="Q152" s="130"/>
      <c r="R152" s="137"/>
      <c r="S152" s="178"/>
      <c r="T152" s="178"/>
      <c r="U152" s="178"/>
      <c r="V152" s="178" t="str">
        <f t="shared" si="43"/>
        <v/>
      </c>
      <c r="W152" s="178"/>
      <c r="X152" s="178"/>
      <c r="Y152" s="178"/>
      <c r="Z152" s="131" t="str">
        <f>IFERROR(IF(AND(S151="Probabilidad",S152="Probabilidad"),(Z151-(+Z151*V152)),IF(S152="Probabilidad",(L151-(+L151*V152)),IF(S152="Impacto",Z151,""))),"")</f>
        <v/>
      </c>
      <c r="AA152" s="219"/>
      <c r="AB152" s="219"/>
      <c r="AC152" s="497"/>
      <c r="AD152" s="182" t="str">
        <f t="shared" ref="AD152:AD155" si="44">IFERROR(IF(AND(S151="Impacto",V152="Impacto"),(AD151-(+AD151*V152)),IF(S152="Impacto",(O151-(+O151*V152)),IF(S152="Probabilidad",AD151,""))),"")</f>
        <v/>
      </c>
      <c r="AE152" s="219"/>
      <c r="AF152" s="219"/>
      <c r="AG152" s="497"/>
      <c r="AH152" s="497"/>
      <c r="AI152" s="497"/>
      <c r="AJ152" s="178"/>
      <c r="AK152" s="178"/>
      <c r="AL152" s="152"/>
      <c r="AM152" s="178"/>
      <c r="AN152" s="178"/>
      <c r="AO152" s="178"/>
      <c r="AP152" s="497"/>
      <c r="AQ152" s="537"/>
      <c r="FM152" s="89"/>
      <c r="FQ152" s="87" t="s">
        <v>160</v>
      </c>
    </row>
    <row r="153" spans="1:173" s="78" customFormat="1" ht="13.5" customHeight="1" x14ac:dyDescent="0.2">
      <c r="A153" s="200"/>
      <c r="B153" s="128" t="s">
        <v>413</v>
      </c>
      <c r="C153" s="200"/>
      <c r="D153" s="200"/>
      <c r="E153" s="200"/>
      <c r="F153" s="200"/>
      <c r="G153" s="200"/>
      <c r="H153" s="200"/>
      <c r="I153" s="200"/>
      <c r="J153" s="203"/>
      <c r="K153" s="497"/>
      <c r="L153" s="497"/>
      <c r="M153" s="497"/>
      <c r="N153" s="497"/>
      <c r="O153" s="510"/>
      <c r="P153" s="497"/>
      <c r="Q153" s="130"/>
      <c r="R153" s="137"/>
      <c r="S153" s="178"/>
      <c r="T153" s="178"/>
      <c r="U153" s="178"/>
      <c r="V153" s="178" t="str">
        <f t="shared" si="43"/>
        <v/>
      </c>
      <c r="W153" s="178"/>
      <c r="X153" s="178"/>
      <c r="Y153" s="178"/>
      <c r="Z153" s="131" t="str">
        <f>IFERROR(IF(AND(S152="Probabilidad",S153="Probabilidad"),(Z152-(+Z152*V153)),IF(S153="Probabilidad",(L152-(+L152*V153)),IF(S153="Impacto",Z152,""))),"")</f>
        <v/>
      </c>
      <c r="AA153" s="219"/>
      <c r="AB153" s="219"/>
      <c r="AC153" s="497"/>
      <c r="AD153" s="182" t="str">
        <f t="shared" si="44"/>
        <v/>
      </c>
      <c r="AE153" s="219"/>
      <c r="AF153" s="219"/>
      <c r="AG153" s="497"/>
      <c r="AH153" s="497"/>
      <c r="AI153" s="497"/>
      <c r="AJ153" s="178"/>
      <c r="AK153" s="178"/>
      <c r="AL153" s="152"/>
      <c r="AM153" s="178"/>
      <c r="AN153" s="178"/>
      <c r="AO153" s="178"/>
      <c r="AP153" s="497"/>
      <c r="AQ153" s="537"/>
      <c r="FM153" s="89"/>
      <c r="FQ153" s="87" t="s">
        <v>162</v>
      </c>
    </row>
    <row r="154" spans="1:173" s="78" customFormat="1" ht="13.5" customHeight="1" x14ac:dyDescent="0.2">
      <c r="A154" s="200"/>
      <c r="B154" s="128" t="s">
        <v>413</v>
      </c>
      <c r="C154" s="200"/>
      <c r="D154" s="200"/>
      <c r="E154" s="200"/>
      <c r="F154" s="200"/>
      <c r="G154" s="200"/>
      <c r="H154" s="200"/>
      <c r="I154" s="200"/>
      <c r="J154" s="203"/>
      <c r="K154" s="497"/>
      <c r="L154" s="497"/>
      <c r="M154" s="497"/>
      <c r="N154" s="497"/>
      <c r="O154" s="510"/>
      <c r="P154" s="497"/>
      <c r="Q154" s="130"/>
      <c r="R154" s="137"/>
      <c r="S154" s="178"/>
      <c r="T154" s="178"/>
      <c r="U154" s="178"/>
      <c r="V154" s="178" t="str">
        <f t="shared" si="43"/>
        <v/>
      </c>
      <c r="W154" s="178"/>
      <c r="X154" s="178"/>
      <c r="Y154" s="178"/>
      <c r="Z154" s="131" t="str">
        <f>IFERROR(IF(AND(S153="Probabilidad",S154="Probabilidad"),(Z153-(+Z153*V154)),IF(S154="Probabilidad",(L153-(+L153*V154)),IF(S154="Impacto",Z153,""))),"")</f>
        <v/>
      </c>
      <c r="AA154" s="219"/>
      <c r="AB154" s="219"/>
      <c r="AC154" s="497"/>
      <c r="AD154" s="182" t="str">
        <f t="shared" si="44"/>
        <v/>
      </c>
      <c r="AE154" s="219"/>
      <c r="AF154" s="219"/>
      <c r="AG154" s="497"/>
      <c r="AH154" s="497"/>
      <c r="AI154" s="497"/>
      <c r="AJ154" s="178"/>
      <c r="AK154" s="178"/>
      <c r="AL154" s="152"/>
      <c r="AM154" s="178"/>
      <c r="AN154" s="178"/>
      <c r="AO154" s="178"/>
      <c r="AP154" s="497"/>
      <c r="AQ154" s="537"/>
      <c r="FM154" s="89"/>
      <c r="FQ154" s="87" t="s">
        <v>257</v>
      </c>
    </row>
    <row r="155" spans="1:173" s="78" customFormat="1" ht="13.5" customHeight="1" x14ac:dyDescent="0.2">
      <c r="A155" s="201"/>
      <c r="B155" s="128" t="s">
        <v>413</v>
      </c>
      <c r="C155" s="201"/>
      <c r="D155" s="201"/>
      <c r="E155" s="201"/>
      <c r="F155" s="201"/>
      <c r="G155" s="201"/>
      <c r="H155" s="201"/>
      <c r="I155" s="201"/>
      <c r="J155" s="204"/>
      <c r="K155" s="498"/>
      <c r="L155" s="498"/>
      <c r="M155" s="498"/>
      <c r="N155" s="498"/>
      <c r="O155" s="511"/>
      <c r="P155" s="498"/>
      <c r="Q155" s="130"/>
      <c r="R155" s="137"/>
      <c r="S155" s="178"/>
      <c r="T155" s="178"/>
      <c r="U155" s="178"/>
      <c r="V155" s="178" t="str">
        <f t="shared" si="43"/>
        <v/>
      </c>
      <c r="W155" s="178"/>
      <c r="X155" s="178"/>
      <c r="Y155" s="178"/>
      <c r="Z155" s="131" t="str">
        <f>IFERROR(IF(AND(S154="Probabilidad",S155="Probabilidad"),(Z154-(+Z154*V155)),IF(S155="Probabilidad",(L154-(+L154*V155)),IF(S155="Impacto",Z154,""))),"")</f>
        <v/>
      </c>
      <c r="AA155" s="220"/>
      <c r="AB155" s="220"/>
      <c r="AC155" s="498"/>
      <c r="AD155" s="182" t="str">
        <f t="shared" si="44"/>
        <v/>
      </c>
      <c r="AE155" s="220"/>
      <c r="AF155" s="220"/>
      <c r="AG155" s="498"/>
      <c r="AH155" s="498"/>
      <c r="AI155" s="498"/>
      <c r="AJ155" s="178"/>
      <c r="AK155" s="178"/>
      <c r="AL155" s="152"/>
      <c r="AM155" s="178"/>
      <c r="AN155" s="178"/>
      <c r="AO155" s="178"/>
      <c r="AP155" s="498"/>
      <c r="AQ155" s="538"/>
      <c r="FM155" s="89"/>
      <c r="FQ155" s="87" t="s">
        <v>170</v>
      </c>
    </row>
    <row r="156" spans="1:173" s="78" customFormat="1" ht="13.5" customHeight="1" x14ac:dyDescent="0.25">
      <c r="A156" s="199">
        <v>28</v>
      </c>
      <c r="B156" s="128" t="s">
        <v>413</v>
      </c>
      <c r="C156" s="199" t="s">
        <v>233</v>
      </c>
      <c r="D156" s="199" t="s">
        <v>420</v>
      </c>
      <c r="E156" s="199" t="s">
        <v>421</v>
      </c>
      <c r="F156" s="199" t="s">
        <v>422</v>
      </c>
      <c r="G156" s="199" t="s">
        <v>265</v>
      </c>
      <c r="H156" s="199" t="s">
        <v>168</v>
      </c>
      <c r="I156" s="199" t="s">
        <v>423</v>
      </c>
      <c r="J156" s="202">
        <v>365</v>
      </c>
      <c r="K156" s="496" t="str">
        <f>IF(AND(J156&lt;=2),"Muy Baja",IF(AND(J156&gt;=3,J156&lt;=23),"Baja",IF(AND(J156&gt;=24,J156&lt;=499),"Media",IF(AND(J156&gt;=500,J156&lt;=4999),"Alta",IF(AND(J156&gt;=5000),"Muy Alta",FALSE)))))</f>
        <v>Media</v>
      </c>
      <c r="L156" s="496" t="str">
        <f>IF(AND(J156&lt;=2),"20%",IF(AND(J156&gt;=3,J156&lt;=23),"40%",IF(AND(J156&gt;=24,J156&lt;=499),"60%",IF(AND(J156&gt;=500,J156&lt;=4999),"80%",IF(AND(J156&gt;=5000),"100%",FALSE)))))</f>
        <v>60%</v>
      </c>
      <c r="M156" s="496" t="s">
        <v>173</v>
      </c>
      <c r="N156" s="496" t="str">
        <f>IF(AND(M156=$FQ$4),"Leve",IF(AND(M156=$FQ$5),"Menor",IF(AND(M156=$FQ$6),"Moderado",IF(AND(M156=$FQ$7),"mayor",IF(AND(M156=$FQ$8),"Catastrófico",IF(AND(M156=$FQ$10),"Leve",IF(AND(M156=$FQ$11),"Menor",IF(AND(M156=$FQ$12),"Moderado",IF(AND(M156=$FQ$13),"Mayor",IF(AND(M156=$FQ$14),"Catastrófico",FALSE))))))))))</f>
        <v>Menor</v>
      </c>
      <c r="O156" s="509" t="str">
        <f>IF(AND(N156="Leve"),"20%",IF(AND(N156="Menor"),"40%",IF(AND(N156="Moderado"),"60%",IF(AND(N156="Mayor"),"80%",IF(AND(N156="Catastrófico"),"100%","")))))</f>
        <v>40%</v>
      </c>
      <c r="P156" s="496" t="str">
        <f>IF(AND(L156&lt;="40%",O156="20%"),"Bajo",IF(AND(L156="60%",O156="20%"),"Moderado",IF(AND(L156="80%",O156="20%"),"Moderado",IF(AND(L156="100%",O156="20%"),"Alto",IF(AND(L156="20%",O156="40%"),"Bajo",IF(AND(L156="40%",O156="40%"),"Moderado",IF(AND(L156="60%",O156="40%"),"Moderado",IF(AND(L156="80%",O156="40%"),"Moderado",IF(AND(L156="100%",O156="40%"),"Alto",IF(AND(L156="20%",O156="60%"),"Moderado",IF(AND(L156="40%",O156="60%"),"Moderado",IF(AND(L156="60%",O156="60%"),"Moderado",IF(AND(L156="80%",O156="60%"),"Alto",IF(AND(L156="100%",O156="60%"),"Alto",IF(AND(L156="20%",O156="80%"),"Alto",IF(AND(L156="40%",O156="80%"),"Alto",IF(AND(L156="60%",O156="80%"),"Alto",IF(AND(L156="80%",O156="80%"),"Alto",IF(AND(L156="100%",O156="80%"),"Alto",IF(AND(L156="20%",O156="100%"),"Extremo",IF(AND(L156="40%",O156="100%"),"Extremo",IF(AND(L156="60%",O156="100%"),"Extremo",IF(AND(L156="80%",O156="100%"),"Moderado",IF(AND(L156="100%",O156="100%"),"Extremo",""""))))))))))))))))))))))))</f>
        <v>Moderado</v>
      </c>
      <c r="Q156" s="130">
        <v>1</v>
      </c>
      <c r="R156" s="138" t="s">
        <v>424</v>
      </c>
      <c r="S156" s="178" t="s">
        <v>242</v>
      </c>
      <c r="T156" s="178" t="s">
        <v>174</v>
      </c>
      <c r="U156" s="178" t="s">
        <v>153</v>
      </c>
      <c r="V156" s="178" t="str">
        <f>IF(AND(T156=$FS$2,U156=$FT$2),"50%",IF(AND(T156=$FS$2,U156=$FT$3),"40%",IF(AND(T156=$FS$3,U156=$FT$2),"40%",IF(AND(T156=$FS$3,U156=$FT$3),"30%",IF(AND(T156=$FS$4,U156=$FT$2),"35%",IF(AND(T156=$FS$4,U156=$FT$3),"25%",""))))))</f>
        <v>25%</v>
      </c>
      <c r="W156" s="178" t="s">
        <v>154</v>
      </c>
      <c r="X156" s="178" t="s">
        <v>155</v>
      </c>
      <c r="Y156" s="178" t="s">
        <v>156</v>
      </c>
      <c r="Z156" s="131" t="str">
        <f>IFERROR(IF(S156="Probabilidad",(L156-(+L156*V156)),IF(S156="Impacto",L156,"")),"")</f>
        <v>60%</v>
      </c>
      <c r="AA156" s="218">
        <f>LOOKUP(2,1/(Z156:Z161&lt;&gt;""),Z156:Z161)</f>
        <v>0.36</v>
      </c>
      <c r="AB156" s="218">
        <f t="shared" ref="AB156" si="45">AA156*1</f>
        <v>0.36</v>
      </c>
      <c r="AC156" s="496" t="str">
        <f>IF(AND(AA156&lt;=20%),"Muy Baja",IF(AND(AA156&gt;=21%,AA156&lt;=40%),"Baja",IF(AND(AA156&gt;=41%,AA156&lt;=60%),"Media",IF(AND(AA156&gt;=61%,AA156&lt;=80%),"Alta",IF(AND(AA156&gt;=81%,AA156&gt;=100%),"Muy Alta",FALSE)))))</f>
        <v>Baja</v>
      </c>
      <c r="AD156" s="182">
        <f>IFERROR(IF(S156="Impacto",(O156-(+O156*V156)),IF(S156="Probabilidad",O156,"")),"")</f>
        <v>0.30000000000000004</v>
      </c>
      <c r="AE156" s="218">
        <f>LOOKUP(2,1/(AD156:AD161&lt;&gt;""),AD156:AD161)</f>
        <v>0</v>
      </c>
      <c r="AF156" s="218">
        <f t="shared" ref="AF156" si="46">AE156*1</f>
        <v>0</v>
      </c>
      <c r="AG156" s="496" t="str">
        <f>IF(AND(AE156&lt;=20%),"Leve",IF(AND(AE156&gt;="21%",AE156&lt;="40%"),"Menor",IF(AND(AE156&gt;=41%,AE156&lt;=60%),"Moderado",IF(AND(AE156&gt;=61%,AE156&lt;=80%),"Mayor",IF(AND(AE156&gt;="81%",AE156&lt;="100%"),"Catastrófico",FALSE)))))</f>
        <v>Leve</v>
      </c>
      <c r="AH156" s="496" t="str">
        <f>IF(OR(AND(AC156="Media",AG156="Leve"),AND(AC156="Alta",AG156="Leve"),AND(AC156="Alta",AG156="Menor"),AND(AC156="Media",AG156="Menor"),AND(AC156="Baja",AG156="Menor"),AND(AC156="Media",AG156="Moderado"),AND(AC156="Baja",AG156="Moderado"),AND(AC156="Muy Baja",AG156="Moderado")),"Moderado",IF(OR(AND(AC156="Baja",AG156="Leve"),AND(AC156="Muy Baja",AG156="Leve"),AND(AC156="Muy Baja",AG156="Menor")),"Bajo",IF(OR(AND(AC156="Muy Alta",AG156="Leve"),AND(AC156="Muy Alta",AG156="Menor"),AND(AC156="Muy Alta",AG156="Moderado"),AND(AC156="Alta",AG156="Moderado"),AND(AC156="Muy Alta",AG156="Mayor"),AND(AC156="Alta",AG156="Mayor"),AND(AC156="Media",AG156="Mayor"),AND(AC156="Baja",AG156="Mayor"),AND(AC156="Muy Baja",AG156="Mayor")),"Alto",IF(OR(AND(AC156="Alta",AG156="Catastrófico"),AND(AC156="Muy Alta",AG156="Catastrófico"),AND(AC156="Media",AG156="Catastrófico"),AND(AC156="Baja",AG156="Catastrófico"),AND(AC156="Muy Baja",AG156="Catastrófico")),"Extremo",IF(AG156="Catastrófico","Extremo")))))</f>
        <v>Bajo</v>
      </c>
      <c r="AI156" s="496" t="s">
        <v>111</v>
      </c>
      <c r="AJ156" s="178"/>
      <c r="AK156" s="178"/>
      <c r="AL156" s="152"/>
      <c r="AM156" s="178"/>
      <c r="AN156" s="178"/>
      <c r="AO156" s="178"/>
      <c r="AP156" s="496" t="s">
        <v>735</v>
      </c>
      <c r="AQ156" s="539" t="s">
        <v>113</v>
      </c>
      <c r="FM156" s="89"/>
      <c r="FQ156" s="80"/>
    </row>
    <row r="157" spans="1:173" s="78" customFormat="1" ht="13.5" customHeight="1" x14ac:dyDescent="0.25">
      <c r="A157" s="200"/>
      <c r="B157" s="128" t="s">
        <v>413</v>
      </c>
      <c r="C157" s="200"/>
      <c r="D157" s="200"/>
      <c r="E157" s="200"/>
      <c r="F157" s="200"/>
      <c r="G157" s="200"/>
      <c r="H157" s="200"/>
      <c r="I157" s="200"/>
      <c r="J157" s="203"/>
      <c r="K157" s="497"/>
      <c r="L157" s="497"/>
      <c r="M157" s="497"/>
      <c r="N157" s="497"/>
      <c r="O157" s="510"/>
      <c r="P157" s="497"/>
      <c r="Q157" s="130">
        <v>2</v>
      </c>
      <c r="R157" s="133" t="s">
        <v>425</v>
      </c>
      <c r="S157" s="178" t="s">
        <v>237</v>
      </c>
      <c r="T157" s="178" t="s">
        <v>152</v>
      </c>
      <c r="U157" s="178" t="s">
        <v>153</v>
      </c>
      <c r="V157" s="178" t="str">
        <f t="shared" ref="V157:V161" si="47">IF(AND(T157=$FS$2,U157=$FT$2),"50%",IF(AND(T157=$FS$2,U157=$FT$3),"40%",IF(AND(T157=$FS$3,U157=$FT$2),"40%",IF(AND(T157=$FS$3,U157=$FT$3),"30%",IF(AND(T157=$FS$4,U157=$FT$2),"35%",IF(AND(T157=$FS$4,U157=$FT$3),"25%",""))))))</f>
        <v>40%</v>
      </c>
      <c r="W157" s="178" t="s">
        <v>161</v>
      </c>
      <c r="X157" s="178" t="s">
        <v>155</v>
      </c>
      <c r="Y157" s="178" t="s">
        <v>156</v>
      </c>
      <c r="Z157" s="131">
        <f>IFERROR(IF(AND(S156="Probabilidad",S157="Probabilidad"),(Z156-(+Z156*V157)),IF(S157="Probabilidad",(L156-(+L156*V157)),IF(S157="Impacto",Z156,""))),"")</f>
        <v>0.36</v>
      </c>
      <c r="AA157" s="219"/>
      <c r="AB157" s="219"/>
      <c r="AC157" s="497"/>
      <c r="AD157" s="182">
        <f>IFERROR(IF(AND(S156="Impacto",V157="Impacto"),(AD156-(+AD156*V157)),IF(S157="Impacto",(O156-(+O156*V157)),IF(S157="Probabilidad",AD156,""))),"")</f>
        <v>0.30000000000000004</v>
      </c>
      <c r="AE157" s="219"/>
      <c r="AF157" s="219"/>
      <c r="AG157" s="497"/>
      <c r="AH157" s="497"/>
      <c r="AI157" s="497"/>
      <c r="AJ157" s="178"/>
      <c r="AK157" s="178"/>
      <c r="AL157" s="152"/>
      <c r="AM157" s="178"/>
      <c r="AN157" s="178"/>
      <c r="AO157" s="178"/>
      <c r="AP157" s="497"/>
      <c r="AQ157" s="537"/>
      <c r="FM157" s="89"/>
    </row>
    <row r="158" spans="1:173" s="78" customFormat="1" ht="13.5" customHeight="1" x14ac:dyDescent="0.25">
      <c r="A158" s="200"/>
      <c r="B158" s="128" t="s">
        <v>413</v>
      </c>
      <c r="C158" s="200"/>
      <c r="D158" s="200"/>
      <c r="E158" s="200"/>
      <c r="F158" s="200"/>
      <c r="G158" s="200"/>
      <c r="H158" s="200"/>
      <c r="I158" s="200"/>
      <c r="J158" s="203"/>
      <c r="K158" s="497"/>
      <c r="L158" s="497"/>
      <c r="M158" s="497"/>
      <c r="N158" s="497"/>
      <c r="O158" s="510"/>
      <c r="P158" s="497"/>
      <c r="Q158" s="130">
        <v>3</v>
      </c>
      <c r="R158" s="133" t="s">
        <v>426</v>
      </c>
      <c r="S158" s="178" t="s">
        <v>242</v>
      </c>
      <c r="T158" s="178" t="s">
        <v>152</v>
      </c>
      <c r="U158" s="178" t="s">
        <v>153</v>
      </c>
      <c r="V158" s="178" t="str">
        <f t="shared" si="47"/>
        <v>40%</v>
      </c>
      <c r="W158" s="178" t="s">
        <v>161</v>
      </c>
      <c r="X158" s="178" t="s">
        <v>155</v>
      </c>
      <c r="Y158" s="178" t="s">
        <v>156</v>
      </c>
      <c r="Z158" s="131">
        <f>IFERROR(IF(AND(S157="Probabilidad",S158="Probabilidad"),(Z157-(+Z157*V158)),IF(S158="Probabilidad",(L157-(+L157*V158)),IF(S158="Impacto",Z157,""))),"")</f>
        <v>0.36</v>
      </c>
      <c r="AA158" s="219"/>
      <c r="AB158" s="219"/>
      <c r="AC158" s="497"/>
      <c r="AD158" s="182">
        <f t="shared" ref="AD158:AD161" si="48">IFERROR(IF(AND(S157="Impacto",V158="Impacto"),(AD157-(+AD157*V158)),IF(S158="Impacto",(O157-(+O157*V158)),IF(S158="Probabilidad",AD157,""))),"")</f>
        <v>0</v>
      </c>
      <c r="AE158" s="219"/>
      <c r="AF158" s="219"/>
      <c r="AG158" s="497"/>
      <c r="AH158" s="497"/>
      <c r="AI158" s="497"/>
      <c r="AJ158" s="178"/>
      <c r="AK158" s="178"/>
      <c r="AL158" s="152"/>
      <c r="AM158" s="178"/>
      <c r="AN158" s="178"/>
      <c r="AO158" s="178"/>
      <c r="AP158" s="497"/>
      <c r="AQ158" s="537"/>
      <c r="FM158" s="89"/>
    </row>
    <row r="159" spans="1:173" s="78" customFormat="1" ht="13.5" customHeight="1" x14ac:dyDescent="0.25">
      <c r="A159" s="200"/>
      <c r="B159" s="128" t="s">
        <v>413</v>
      </c>
      <c r="C159" s="200"/>
      <c r="D159" s="200"/>
      <c r="E159" s="200"/>
      <c r="F159" s="200"/>
      <c r="G159" s="200"/>
      <c r="H159" s="200"/>
      <c r="I159" s="200"/>
      <c r="J159" s="203"/>
      <c r="K159" s="497"/>
      <c r="L159" s="497"/>
      <c r="M159" s="497"/>
      <c r="N159" s="497"/>
      <c r="O159" s="510"/>
      <c r="P159" s="497"/>
      <c r="Q159" s="130"/>
      <c r="R159" s="133"/>
      <c r="S159" s="178"/>
      <c r="T159" s="178"/>
      <c r="U159" s="178"/>
      <c r="V159" s="178" t="str">
        <f t="shared" si="47"/>
        <v/>
      </c>
      <c r="W159" s="178"/>
      <c r="X159" s="178"/>
      <c r="Y159" s="178"/>
      <c r="Z159" s="131" t="str">
        <f>IFERROR(IF(AND(S158="Probabilidad",S159="Probabilidad"),(Z158-(+Z158*V159)),IF(S159="Probabilidad",(L158-(+L158*V159)),IF(S159="Impacto",Z158,""))),"")</f>
        <v/>
      </c>
      <c r="AA159" s="219"/>
      <c r="AB159" s="219"/>
      <c r="AC159" s="497"/>
      <c r="AD159" s="182" t="str">
        <f t="shared" si="48"/>
        <v/>
      </c>
      <c r="AE159" s="219"/>
      <c r="AF159" s="219"/>
      <c r="AG159" s="497"/>
      <c r="AH159" s="497"/>
      <c r="AI159" s="497"/>
      <c r="AJ159" s="178"/>
      <c r="AK159" s="178"/>
      <c r="AL159" s="152"/>
      <c r="AM159" s="178"/>
      <c r="AN159" s="178"/>
      <c r="AO159" s="178"/>
      <c r="AP159" s="497"/>
      <c r="AQ159" s="537"/>
      <c r="FM159" s="89"/>
    </row>
    <row r="160" spans="1:173" s="78" customFormat="1" ht="13.5" customHeight="1" x14ac:dyDescent="0.25">
      <c r="A160" s="200"/>
      <c r="B160" s="128" t="s">
        <v>413</v>
      </c>
      <c r="C160" s="200"/>
      <c r="D160" s="200"/>
      <c r="E160" s="200"/>
      <c r="F160" s="200"/>
      <c r="G160" s="200"/>
      <c r="H160" s="200"/>
      <c r="I160" s="200"/>
      <c r="J160" s="203"/>
      <c r="K160" s="497"/>
      <c r="L160" s="497"/>
      <c r="M160" s="497"/>
      <c r="N160" s="497"/>
      <c r="O160" s="510"/>
      <c r="P160" s="497"/>
      <c r="Q160" s="130"/>
      <c r="R160" s="133"/>
      <c r="S160" s="178"/>
      <c r="T160" s="178"/>
      <c r="U160" s="178"/>
      <c r="V160" s="178" t="str">
        <f t="shared" si="47"/>
        <v/>
      </c>
      <c r="W160" s="178"/>
      <c r="X160" s="178"/>
      <c r="Y160" s="178"/>
      <c r="Z160" s="131" t="str">
        <f>IFERROR(IF(AND(S159="Probabilidad",S160="Probabilidad"),(Z159-(+Z159*V160)),IF(S160="Probabilidad",(L159-(+L159*V160)),IF(S160="Impacto",Z159,""))),"")</f>
        <v/>
      </c>
      <c r="AA160" s="219"/>
      <c r="AB160" s="219"/>
      <c r="AC160" s="497"/>
      <c r="AD160" s="182" t="str">
        <f t="shared" si="48"/>
        <v/>
      </c>
      <c r="AE160" s="219"/>
      <c r="AF160" s="219"/>
      <c r="AG160" s="497"/>
      <c r="AH160" s="497"/>
      <c r="AI160" s="497"/>
      <c r="AJ160" s="178"/>
      <c r="AK160" s="178"/>
      <c r="AL160" s="152"/>
      <c r="AM160" s="178"/>
      <c r="AN160" s="178"/>
      <c r="AO160" s="178"/>
      <c r="AP160" s="497"/>
      <c r="AQ160" s="537"/>
      <c r="FM160" s="89"/>
    </row>
    <row r="161" spans="1:173" s="78" customFormat="1" ht="13.5" customHeight="1" x14ac:dyDescent="0.25">
      <c r="A161" s="201"/>
      <c r="B161" s="128" t="s">
        <v>413</v>
      </c>
      <c r="C161" s="201"/>
      <c r="D161" s="201"/>
      <c r="E161" s="201"/>
      <c r="F161" s="201"/>
      <c r="G161" s="201"/>
      <c r="H161" s="201"/>
      <c r="I161" s="201"/>
      <c r="J161" s="204"/>
      <c r="K161" s="498"/>
      <c r="L161" s="498"/>
      <c r="M161" s="498"/>
      <c r="N161" s="498"/>
      <c r="O161" s="511"/>
      <c r="P161" s="498"/>
      <c r="Q161" s="130"/>
      <c r="R161" s="133"/>
      <c r="S161" s="178"/>
      <c r="T161" s="178"/>
      <c r="U161" s="178"/>
      <c r="V161" s="178" t="str">
        <f t="shared" si="47"/>
        <v/>
      </c>
      <c r="W161" s="178"/>
      <c r="X161" s="178"/>
      <c r="Y161" s="178"/>
      <c r="Z161" s="131" t="str">
        <f>IFERROR(IF(AND(S160="Probabilidad",S161="Probabilidad"),(Z160-(+Z160*V161)),IF(S161="Probabilidad",(L160-(+L160*V161)),IF(S161="Impacto",Z160,""))),"")</f>
        <v/>
      </c>
      <c r="AA161" s="220"/>
      <c r="AB161" s="220"/>
      <c r="AC161" s="498"/>
      <c r="AD161" s="182" t="str">
        <f t="shared" si="48"/>
        <v/>
      </c>
      <c r="AE161" s="220"/>
      <c r="AF161" s="220"/>
      <c r="AG161" s="498"/>
      <c r="AH161" s="498"/>
      <c r="AI161" s="498"/>
      <c r="AJ161" s="178"/>
      <c r="AK161" s="178"/>
      <c r="AL161" s="152"/>
      <c r="AM161" s="178"/>
      <c r="AN161" s="178"/>
      <c r="AO161" s="178"/>
      <c r="AP161" s="498"/>
      <c r="AQ161" s="538"/>
      <c r="FM161" s="89"/>
      <c r="FQ161" s="79"/>
    </row>
    <row r="162" spans="1:173" s="78" customFormat="1" ht="13.5" customHeight="1" x14ac:dyDescent="0.25">
      <c r="A162" s="199">
        <v>29</v>
      </c>
      <c r="B162" s="128" t="s">
        <v>413</v>
      </c>
      <c r="C162" s="199" t="s">
        <v>248</v>
      </c>
      <c r="D162" s="199" t="s">
        <v>427</v>
      </c>
      <c r="E162" s="199" t="s">
        <v>428</v>
      </c>
      <c r="F162" s="199" t="s">
        <v>429</v>
      </c>
      <c r="G162" s="199" t="s">
        <v>265</v>
      </c>
      <c r="H162" s="199" t="s">
        <v>255</v>
      </c>
      <c r="I162" s="209" t="s">
        <v>423</v>
      </c>
      <c r="J162" s="202">
        <v>2</v>
      </c>
      <c r="K162" s="496" t="str">
        <f>IF(AND(J162&lt;=2),"Muy Baja",IF(AND(J162&gt;=3,J162&lt;=23),"Baja",IF(AND(J162&gt;=24,J162&lt;=499),"Media",IF(AND(J162&gt;=500,J162&lt;=4999),"Alta",IF(AND(J162&gt;=5000),"Muy Alta",FALSE)))))</f>
        <v>Muy Baja</v>
      </c>
      <c r="L162" s="496" t="str">
        <f>IF(AND(J162&lt;=2),"20%",IF(AND(J162&gt;=3,J162&lt;=23),"40%",IF(AND(J162&gt;=24,J162&lt;=499),"60%",IF(AND(J162&gt;=500,J162&lt;=4999),"80%",IF(AND(J162&gt;=5000),"100%",FALSE)))))</f>
        <v>20%</v>
      </c>
      <c r="M162" s="496" t="s">
        <v>163</v>
      </c>
      <c r="N162" s="496" t="str">
        <f>IF(AND(M162=$FQ$4),"Leve",IF(AND(M162=$FQ$5),"Menor",IF(AND(M162=$FQ$6),"Moderado",IF(AND(M162=$FQ$7),"mayor",IF(AND(M162=$FQ$8),"Catastrófico",IF(AND(M162=$FQ$10),"Leve",IF(AND(M162=$FQ$11),"Menor",IF(AND(M162=$FQ$12),"Moderado",IF(AND(M162=$FQ$13),"Mayor",IF(AND(M162=$FQ$14),"Catastrófico",FALSE))))))))))</f>
        <v>Leve</v>
      </c>
      <c r="O162" s="509" t="str">
        <f>IF(AND(N162="Leve"),"20%",IF(AND(N162="Menor"),"40%",IF(AND(N162="Moderado"),"60%",IF(AND(N162="Mayor"),"80%",IF(AND(N162="Catastrófico"),"100%","")))))</f>
        <v>20%</v>
      </c>
      <c r="P162" s="496" t="str">
        <f>IF(AND(L162&lt;="40%",O162="20%"),"Bajo",IF(AND(L162="60%",O162="20%"),"Moderado",IF(AND(L162="80%",O162="20%"),"Moderado",IF(AND(L162="100%",O162="20%"),"Alto",IF(AND(L162="20%",O162="40%"),"Bajo",IF(AND(L162="40%",O162="40%"),"Moderado",IF(AND(L162="60%",O162="40%"),"Moderado",IF(AND(L162="80%",O162="40%"),"Moderado",IF(AND(L162="100%",O162="40%"),"Alto",IF(AND(L162="20%",O162="60%"),"Moderado",IF(AND(L162="40%",O162="60%"),"Moderado",IF(AND(L162="60%",O162="60%"),"Moderado",IF(AND(L162="80%",O162="60%"),"Alto",IF(AND(L162="100%",O162="60%"),"Alto",IF(AND(L162="20%",O162="80%"),"Alto",IF(AND(L162="40%",O162="80%"),"Alto",IF(AND(L162="60%",O162="80%"),"Alto",IF(AND(L162="80%",O162="80%"),"Alto",IF(AND(L162="100%",O162="80%"),"Alto",IF(AND(L162="20%",O162="100%"),"Extremo",IF(AND(L162="40%",O162="100%"),"Extremo",IF(AND(L162="60%",O162="100%"),"Extremo",IF(AND(L162="80%",O162="100%"),"Moderado",IF(AND(L162="100%",O162="100%"),"Extremo",""""))))))))))))))))))))))))</f>
        <v>Bajo</v>
      </c>
      <c r="Q162" s="130">
        <v>1</v>
      </c>
      <c r="R162" s="138" t="s">
        <v>430</v>
      </c>
      <c r="S162" s="178" t="s">
        <v>237</v>
      </c>
      <c r="T162" s="178" t="s">
        <v>152</v>
      </c>
      <c r="U162" s="178" t="s">
        <v>153</v>
      </c>
      <c r="V162" s="178" t="str">
        <f>IF(AND(T162=$FS$2,U162=$FT$2),"50%",IF(AND(T162=$FS$2,U162=$FT$3),"40%",IF(AND(T162=$FS$3,U162=$FT$2),"40%",IF(AND(T162=$FS$3,U162=$FT$3),"30%",IF(AND(T162=$FS$4,U162=$FT$2),"35%",IF(AND(T162=$FS$4,U162=$FT$3),"25%",""))))))</f>
        <v>40%</v>
      </c>
      <c r="W162" s="178" t="s">
        <v>154</v>
      </c>
      <c r="X162" s="178" t="s">
        <v>155</v>
      </c>
      <c r="Y162" s="178" t="s">
        <v>156</v>
      </c>
      <c r="Z162" s="131">
        <f>IFERROR(IF(S162="Probabilidad",(L162-(+L162*V162)),IF(S162="Impacto",L162,"")),"")</f>
        <v>0.12</v>
      </c>
      <c r="AA162" s="218">
        <f>LOOKUP(2,1/(Z162:Z167&lt;&gt;""),Z162:Z167)</f>
        <v>7.1999999999999995E-2</v>
      </c>
      <c r="AB162" s="218">
        <f t="shared" ref="AB162" si="49">AA162*1</f>
        <v>7.1999999999999995E-2</v>
      </c>
      <c r="AC162" s="496" t="str">
        <f>IF(AND(AA162&lt;=20%),"Muy Baja",IF(AND(AA162&gt;=21%,AA162&lt;=40%),"Baja",IF(AND(AA162&gt;=41%,AA162&lt;=60%),"Media",IF(AND(AA162&gt;=61%,AA162&lt;=80%),"Alta",IF(AND(AA162&gt;=81%,AA162&gt;=100%),"Muy Alta",FALSE)))))</f>
        <v>Muy Baja</v>
      </c>
      <c r="AD162" s="182" t="str">
        <f>IFERROR(IF(S162="Impacto",(O162-(+O162*V162)),IF(S162="Probabilidad",O162,"")),"")</f>
        <v>20%</v>
      </c>
      <c r="AE162" s="218" t="str">
        <f>LOOKUP(2,1/(AD162:AD167&lt;&gt;""),AD162:AD167)</f>
        <v>20%</v>
      </c>
      <c r="AF162" s="218">
        <f t="shared" ref="AF162" si="50">AE162*1</f>
        <v>0.2</v>
      </c>
      <c r="AG162" s="496" t="str">
        <f>IF(AND(AE162&lt;="20%"),"Leve",IF(AND(AE162&gt;="21%",AE162&lt;="40%"),"Menor",IF(AND(AE162&gt;=41%,AE162&lt;=60%),"Moderado",IF(AND(AE162&gt;=61%,AE162&lt;=80%),"Mayor",IF(AND(AE162&gt;="81%",AE162&lt;="100%"),"Catastrófico",FALSE)))))</f>
        <v>Leve</v>
      </c>
      <c r="AH162" s="496" t="str">
        <f>IF(OR(AND(AC162="Media",AG162="Leve"),AND(AC162="Alta",AG162="Leve"),AND(AC162="Alta",AG162="Menor"),AND(AC162="Media",AG162="Menor"),AND(AC162="Baja",AG162="Menor"),AND(AC162="Media",AG162="Moderado"),AND(AC162="Baja",AG162="Moderado"),AND(AC162="Muy Baja",AG162="Moderado")),"Moderado",IF(OR(AND(AC162="Baja",AG162="Leve"),AND(AC162="Muy Baja",AG162="Leve"),AND(AC162="Muy Baja",AG162="Menor")),"Bajo",IF(OR(AND(AC162="Muy Alta",AG162="Leve"),AND(AC162="Muy Alta",AG162="Menor"),AND(AC162="Muy Alta",AG162="Moderado"),AND(AC162="Alta",AG162="Moderado"),AND(AC162="Muy Alta",AG162="Mayor"),AND(AC162="Alta",AG162="Mayor"),AND(AC162="Media",AG162="Mayor"),AND(AC162="Baja",AG162="Mayor"),AND(AC162="Muy Baja",AG162="Mayor")),"Alto",IF(OR(AND(AC162="Alta",AG162="Catastrófico"),AND(AC162="Muy Alta",AG162="Catastrófico"),AND(AC162="Media",AG162="Catastrófico"),AND(AC162="Baja",AG162="Catastrófico"),AND(AC162="Muy Baja",AG162="Catastrófico")),"Extremo",IF(AG162="Catastrófico","Extremo")))))</f>
        <v>Bajo</v>
      </c>
      <c r="AI162" s="496" t="s">
        <v>111</v>
      </c>
      <c r="AJ162" s="178"/>
      <c r="AK162" s="178"/>
      <c r="AL162" s="152"/>
      <c r="AM162" s="178"/>
      <c r="AN162" s="178"/>
      <c r="AO162" s="178"/>
      <c r="AP162" s="496" t="s">
        <v>736</v>
      </c>
      <c r="AQ162" s="539" t="s">
        <v>113</v>
      </c>
      <c r="FM162" s="89"/>
      <c r="FQ162" s="80"/>
    </row>
    <row r="163" spans="1:173" s="78" customFormat="1" ht="13.5" customHeight="1" x14ac:dyDescent="0.25">
      <c r="A163" s="200"/>
      <c r="B163" s="128" t="s">
        <v>413</v>
      </c>
      <c r="C163" s="200"/>
      <c r="D163" s="200"/>
      <c r="E163" s="200"/>
      <c r="F163" s="200"/>
      <c r="G163" s="200"/>
      <c r="H163" s="200"/>
      <c r="I163" s="210"/>
      <c r="J163" s="203"/>
      <c r="K163" s="497"/>
      <c r="L163" s="497"/>
      <c r="M163" s="497"/>
      <c r="N163" s="497"/>
      <c r="O163" s="510"/>
      <c r="P163" s="497"/>
      <c r="Q163" s="130">
        <v>2</v>
      </c>
      <c r="R163" s="133" t="s">
        <v>431</v>
      </c>
      <c r="S163" s="178" t="s">
        <v>237</v>
      </c>
      <c r="T163" s="178" t="s">
        <v>152</v>
      </c>
      <c r="U163" s="178" t="s">
        <v>153</v>
      </c>
      <c r="V163" s="178" t="str">
        <f t="shared" ref="V163:V167" si="51">IF(AND(T163=$FS$2,U163=$FT$2),"50%",IF(AND(T163=$FS$2,U163=$FT$3),"40%",IF(AND(T163=$FS$3,U163=$FT$2),"40%",IF(AND(T163=$FS$3,U163=$FT$3),"30%",IF(AND(T163=$FS$4,U163=$FT$2),"35%",IF(AND(T163=$FS$4,U163=$FT$3),"25%",""))))))</f>
        <v>40%</v>
      </c>
      <c r="W163" s="178" t="s">
        <v>154</v>
      </c>
      <c r="X163" s="178" t="s">
        <v>164</v>
      </c>
      <c r="Y163" s="178" t="s">
        <v>156</v>
      </c>
      <c r="Z163" s="131">
        <f>IFERROR(IF(AND(S162="Probabilidad",S163="Probabilidad"),(Z162-(+Z162*V163)),IF(S163="Probabilidad",(L162-(+L162*V163)),IF(S163="Impacto",Z162,""))),"")</f>
        <v>7.1999999999999995E-2</v>
      </c>
      <c r="AA163" s="219"/>
      <c r="AB163" s="219"/>
      <c r="AC163" s="497"/>
      <c r="AD163" s="182" t="str">
        <f>IFERROR(IF(AND(S162="Impacto",V163="Impacto"),(AD162-(+AD162*V163)),IF(S163="Impacto",(O162-(+O162*V163)),IF(S163="Probabilidad",AD162,""))),"")</f>
        <v>20%</v>
      </c>
      <c r="AE163" s="219"/>
      <c r="AF163" s="219"/>
      <c r="AG163" s="497"/>
      <c r="AH163" s="497"/>
      <c r="AI163" s="497"/>
      <c r="AJ163" s="178"/>
      <c r="AK163" s="178"/>
      <c r="AL163" s="152"/>
      <c r="AM163" s="178"/>
      <c r="AN163" s="178"/>
      <c r="AO163" s="178"/>
      <c r="AP163" s="497"/>
      <c r="AQ163" s="537"/>
      <c r="FM163" s="89"/>
    </row>
    <row r="164" spans="1:173" s="78" customFormat="1" ht="13.5" customHeight="1" x14ac:dyDescent="0.25">
      <c r="A164" s="200"/>
      <c r="B164" s="128" t="s">
        <v>413</v>
      </c>
      <c r="C164" s="200"/>
      <c r="D164" s="200"/>
      <c r="E164" s="200"/>
      <c r="F164" s="200"/>
      <c r="G164" s="200"/>
      <c r="H164" s="200"/>
      <c r="I164" s="210"/>
      <c r="J164" s="203"/>
      <c r="K164" s="497"/>
      <c r="L164" s="497"/>
      <c r="M164" s="497"/>
      <c r="N164" s="497"/>
      <c r="O164" s="510"/>
      <c r="P164" s="497"/>
      <c r="Q164" s="130"/>
      <c r="R164" s="133"/>
      <c r="S164" s="178"/>
      <c r="T164" s="178"/>
      <c r="U164" s="178"/>
      <c r="V164" s="178" t="str">
        <f t="shared" si="51"/>
        <v/>
      </c>
      <c r="W164" s="178"/>
      <c r="X164" s="178"/>
      <c r="Y164" s="178"/>
      <c r="Z164" s="131" t="str">
        <f>IFERROR(IF(AND(S163="Probabilidad",S164="Probabilidad"),(Z163-(+Z163*V164)),IF(S164="Probabilidad",(L163-(+L163*V164)),IF(S164="Impacto",Z163,""))),"")</f>
        <v/>
      </c>
      <c r="AA164" s="219"/>
      <c r="AB164" s="219"/>
      <c r="AC164" s="497"/>
      <c r="AD164" s="182" t="str">
        <f t="shared" ref="AD164:AD167" si="52">IFERROR(IF(AND(S163="Impacto",V164="Impacto"),(AD163-(+AD163*V164)),IF(S164="Impacto",(O163-(+O163*V164)),IF(S164="Probabilidad",AD163,""))),"")</f>
        <v/>
      </c>
      <c r="AE164" s="219"/>
      <c r="AF164" s="219"/>
      <c r="AG164" s="497"/>
      <c r="AH164" s="497"/>
      <c r="AI164" s="497"/>
      <c r="AJ164" s="178"/>
      <c r="AK164" s="178"/>
      <c r="AL164" s="152"/>
      <c r="AM164" s="178"/>
      <c r="AN164" s="178"/>
      <c r="AO164" s="178"/>
      <c r="AP164" s="497"/>
      <c r="AQ164" s="537"/>
      <c r="FM164" s="89"/>
    </row>
    <row r="165" spans="1:173" s="78" customFormat="1" ht="13.5" customHeight="1" x14ac:dyDescent="0.25">
      <c r="A165" s="200"/>
      <c r="B165" s="128" t="s">
        <v>413</v>
      </c>
      <c r="C165" s="200"/>
      <c r="D165" s="200"/>
      <c r="E165" s="200"/>
      <c r="F165" s="200"/>
      <c r="G165" s="200"/>
      <c r="H165" s="200"/>
      <c r="I165" s="210"/>
      <c r="J165" s="203"/>
      <c r="K165" s="497"/>
      <c r="L165" s="497"/>
      <c r="M165" s="497"/>
      <c r="N165" s="497"/>
      <c r="O165" s="510"/>
      <c r="P165" s="497"/>
      <c r="Q165" s="130"/>
      <c r="R165" s="133"/>
      <c r="S165" s="178"/>
      <c r="T165" s="178"/>
      <c r="U165" s="178"/>
      <c r="V165" s="178" t="str">
        <f t="shared" si="51"/>
        <v/>
      </c>
      <c r="W165" s="178"/>
      <c r="X165" s="178"/>
      <c r="Y165" s="178"/>
      <c r="Z165" s="131" t="str">
        <f>IFERROR(IF(AND(S164="Probabilidad",S165="Probabilidad"),(Z164-(+Z164*V165)),IF(S165="Probabilidad",(L164-(+L164*V165)),IF(S165="Impacto",Z164,""))),"")</f>
        <v/>
      </c>
      <c r="AA165" s="219"/>
      <c r="AB165" s="219"/>
      <c r="AC165" s="497"/>
      <c r="AD165" s="182" t="str">
        <f t="shared" si="52"/>
        <v/>
      </c>
      <c r="AE165" s="219"/>
      <c r="AF165" s="219"/>
      <c r="AG165" s="497"/>
      <c r="AH165" s="497"/>
      <c r="AI165" s="497"/>
      <c r="AJ165" s="178"/>
      <c r="AK165" s="178"/>
      <c r="AL165" s="152"/>
      <c r="AM165" s="178"/>
      <c r="AN165" s="178"/>
      <c r="AO165" s="178"/>
      <c r="AP165" s="497"/>
      <c r="AQ165" s="537"/>
      <c r="FM165" s="89"/>
    </row>
    <row r="166" spans="1:173" s="78" customFormat="1" ht="13.5" customHeight="1" x14ac:dyDescent="0.25">
      <c r="A166" s="200"/>
      <c r="B166" s="128" t="s">
        <v>413</v>
      </c>
      <c r="C166" s="200"/>
      <c r="D166" s="200"/>
      <c r="E166" s="200"/>
      <c r="F166" s="200"/>
      <c r="G166" s="200"/>
      <c r="H166" s="200"/>
      <c r="I166" s="210"/>
      <c r="J166" s="203"/>
      <c r="K166" s="497"/>
      <c r="L166" s="497"/>
      <c r="M166" s="497"/>
      <c r="N166" s="497"/>
      <c r="O166" s="510"/>
      <c r="P166" s="497"/>
      <c r="Q166" s="130"/>
      <c r="R166" s="133"/>
      <c r="S166" s="178"/>
      <c r="T166" s="178"/>
      <c r="U166" s="178"/>
      <c r="V166" s="178" t="str">
        <f t="shared" si="51"/>
        <v/>
      </c>
      <c r="W166" s="178"/>
      <c r="X166" s="178"/>
      <c r="Y166" s="178"/>
      <c r="Z166" s="131" t="str">
        <f>IFERROR(IF(AND(S165="Probabilidad",S166="Probabilidad"),(Z165-(+Z165*V166)),IF(S166="Probabilidad",(L165-(+L165*V166)),IF(S166="Impacto",Z165,""))),"")</f>
        <v/>
      </c>
      <c r="AA166" s="219"/>
      <c r="AB166" s="219"/>
      <c r="AC166" s="497"/>
      <c r="AD166" s="182" t="str">
        <f t="shared" si="52"/>
        <v/>
      </c>
      <c r="AE166" s="219"/>
      <c r="AF166" s="219"/>
      <c r="AG166" s="497"/>
      <c r="AH166" s="497"/>
      <c r="AI166" s="497"/>
      <c r="AJ166" s="178"/>
      <c r="AK166" s="178"/>
      <c r="AL166" s="152"/>
      <c r="AM166" s="178"/>
      <c r="AN166" s="178"/>
      <c r="AO166" s="178"/>
      <c r="AP166" s="497"/>
      <c r="AQ166" s="537"/>
      <c r="FM166" s="89"/>
    </row>
    <row r="167" spans="1:173" s="78" customFormat="1" ht="13.5" customHeight="1" x14ac:dyDescent="0.25">
      <c r="A167" s="201"/>
      <c r="B167" s="128" t="s">
        <v>413</v>
      </c>
      <c r="C167" s="201"/>
      <c r="D167" s="201"/>
      <c r="E167" s="201"/>
      <c r="F167" s="201"/>
      <c r="G167" s="201"/>
      <c r="H167" s="201"/>
      <c r="I167" s="211"/>
      <c r="J167" s="204"/>
      <c r="K167" s="498"/>
      <c r="L167" s="498"/>
      <c r="M167" s="498"/>
      <c r="N167" s="498"/>
      <c r="O167" s="511"/>
      <c r="P167" s="498"/>
      <c r="Q167" s="130"/>
      <c r="R167" s="133"/>
      <c r="S167" s="178"/>
      <c r="T167" s="178"/>
      <c r="U167" s="178"/>
      <c r="V167" s="178" t="str">
        <f t="shared" si="51"/>
        <v/>
      </c>
      <c r="W167" s="178"/>
      <c r="X167" s="178"/>
      <c r="Y167" s="178"/>
      <c r="Z167" s="131" t="str">
        <f>IFERROR(IF(AND(S166="Probabilidad",S167="Probabilidad"),(Z166-(+Z166*V167)),IF(S167="Probabilidad",(L166-(+L166*V167)),IF(S167="Impacto",Z166,""))),"")</f>
        <v/>
      </c>
      <c r="AA167" s="220"/>
      <c r="AB167" s="220"/>
      <c r="AC167" s="498"/>
      <c r="AD167" s="182" t="str">
        <f t="shared" si="52"/>
        <v/>
      </c>
      <c r="AE167" s="220"/>
      <c r="AF167" s="220"/>
      <c r="AG167" s="498"/>
      <c r="AH167" s="498"/>
      <c r="AI167" s="498"/>
      <c r="AJ167" s="178"/>
      <c r="AK167" s="178"/>
      <c r="AL167" s="152"/>
      <c r="AM167" s="178"/>
      <c r="AN167" s="178"/>
      <c r="AO167" s="178"/>
      <c r="AP167" s="498"/>
      <c r="AQ167" s="538"/>
      <c r="FM167" s="89"/>
      <c r="FQ167" s="79"/>
    </row>
    <row r="168" spans="1:173" s="78" customFormat="1" ht="13.5" customHeight="1" x14ac:dyDescent="0.25">
      <c r="A168" s="199">
        <v>30</v>
      </c>
      <c r="B168" s="128" t="s">
        <v>413</v>
      </c>
      <c r="C168" s="199" t="s">
        <v>248</v>
      </c>
      <c r="D168" s="199" t="s">
        <v>432</v>
      </c>
      <c r="E168" s="199" t="s">
        <v>433</v>
      </c>
      <c r="F168" s="199" t="s">
        <v>737</v>
      </c>
      <c r="G168" s="199" t="s">
        <v>149</v>
      </c>
      <c r="H168" s="199" t="s">
        <v>150</v>
      </c>
      <c r="I168" s="209" t="s">
        <v>151</v>
      </c>
      <c r="J168" s="202">
        <v>1</v>
      </c>
      <c r="K168" s="496" t="str">
        <f>IF(AND(J168&lt;=2),"Muy Baja",IF(AND(J168&gt;=3,J168&lt;=23),"Baja",IF(AND(J168&gt;=24,J168&lt;=499),"Media",IF(AND(J168&gt;=500,J168&lt;=4999),"Alta",IF(AND(J168&gt;=5000),"Muy Alta",FALSE)))))</f>
        <v>Muy Baja</v>
      </c>
      <c r="L168" s="496" t="str">
        <f>IF(AND(J168&lt;=2),"20%",IF(AND(J168&gt;=3,J168&lt;=23),"40%",IF(AND(J168&gt;=24,J168&lt;=499),"60%",IF(AND(J168&gt;=500,J168&lt;=4999),"80%",IF(AND(J168&gt;=5000),"100%",FALSE)))))</f>
        <v>20%</v>
      </c>
      <c r="M168" s="496" t="s">
        <v>173</v>
      </c>
      <c r="N168" s="496" t="str">
        <f>IF(AND(M168=$FQ$4),"Leve",IF(AND(M168=$FQ$5),"Menor",IF(AND(M168=$FQ$6),"Moderado",IF(AND(M168=$FQ$7),"mayor",IF(AND(M168=$FQ$8),"Catastrófico",IF(AND(M168=$FQ$10),"Leve",IF(AND(M168=$FQ$11),"Menor",IF(AND(M168=$FQ$12),"Moderado",IF(AND(M168=$FQ$13),"Mayor",IF(AND(M168=$FQ$14),"Catastrófico",FALSE))))))))))</f>
        <v>Menor</v>
      </c>
      <c r="O168" s="509" t="str">
        <f>IF(AND(N168="Leve"),"20%",IF(AND(N168="Menor"),"40%",IF(AND(N168="Moderado"),"60%",IF(AND(N168="Mayor"),"80%",IF(AND(N168="Catastrófico"),"100%","")))))</f>
        <v>40%</v>
      </c>
      <c r="P168" s="496" t="str">
        <f>IF(AND(L168&lt;="40%",O168="20%"),"Bajo",IF(AND(L168="60%",O168="20%"),"Moderado",IF(AND(L168="80%",O168="20%"),"Moderado",IF(AND(L168="100%",O168="20%"),"Alto",IF(AND(L168="20%",O168="40%"),"Bajo",IF(AND(L168="40%",O168="40%"),"Moderado",IF(AND(L168="60%",O168="40%"),"Moderado",IF(AND(L168="80%",O168="40%"),"Moderado",IF(AND(L168="100%",O168="40%"),"Alto",IF(AND(L168="20%",O168="60%"),"Moderado",IF(AND(L168="40%",O168="60%"),"Moderado",IF(AND(L168="60%",O168="60%"),"Moderado",IF(AND(L168="80%",O168="60%"),"Alto",IF(AND(L168="100%",O168="60%"),"Alto",IF(AND(L168="20%",O168="80%"),"Alto",IF(AND(L168="40%",O168="80%"),"Alto",IF(AND(L168="60%",O168="80%"),"Alto",IF(AND(L168="80%",O168="80%"),"Alto",IF(AND(L168="100%",O168="80%"),"Alto",IF(AND(L168="20%",O168="100%"),"Extremo",IF(AND(L168="40%",O168="100%"),"Extremo",IF(AND(L168="60%",O168="100%"),"Extremo",IF(AND(L168="80%",O168="100%"),"Moderado",IF(AND(L168="100%",O168="100%"),"Extremo",""""))))))))))))))))))))))))</f>
        <v>Bajo</v>
      </c>
      <c r="Q168" s="130">
        <v>1</v>
      </c>
      <c r="R168" s="133" t="s">
        <v>434</v>
      </c>
      <c r="S168" s="178" t="s">
        <v>237</v>
      </c>
      <c r="T168" s="178" t="s">
        <v>152</v>
      </c>
      <c r="U168" s="178" t="s">
        <v>153</v>
      </c>
      <c r="V168" s="178" t="str">
        <f>IF(AND(T168=$FS$2,U168=$FT$2),"50%",IF(AND(T168=$FS$2,U168=$FT$3),"40%",IF(AND(T168=$FS$3,U168=$FT$2),"40%",IF(AND(T168=$FS$3,U168=$FT$3),"30%",IF(AND(T168=$FS$4,U168=$FT$2),"35%",IF(AND(T168=$FS$4,U168=$FT$3),"25%",""))))))</f>
        <v>40%</v>
      </c>
      <c r="W168" s="178" t="s">
        <v>154</v>
      </c>
      <c r="X168" s="178" t="s">
        <v>164</v>
      </c>
      <c r="Y168" s="178" t="s">
        <v>156</v>
      </c>
      <c r="Z168" s="131">
        <f>IFERROR(IF(S168="Probabilidad",(L168-(+L168*V168)),IF(S168="Impacto",L168,"")),"")</f>
        <v>0.12</v>
      </c>
      <c r="AA168" s="218">
        <f>LOOKUP(2,1/(Z168:Z173&lt;&gt;""),Z168:Z173)</f>
        <v>0.12</v>
      </c>
      <c r="AB168" s="218">
        <f t="shared" ref="AB168" si="53">AA168*1</f>
        <v>0.12</v>
      </c>
      <c r="AC168" s="496" t="str">
        <f>IF(AND(AA168&lt;=20%),"Muy Baja",IF(AND(AA168&gt;=21%,AA168&lt;=40%),"Baja",IF(AND(AA168&gt;=41%,AA168&lt;=60%),"Media",IF(AND(AA168&gt;=61%,AA168&lt;=80%),"Alta",IF(AND(AA168&gt;=81%,AA168&gt;=100%),"Muy Alta",FALSE)))))</f>
        <v>Muy Baja</v>
      </c>
      <c r="AD168" s="182" t="str">
        <f>IFERROR(IF(S168="Impacto",(O168-(+O168*V168)),IF(S168="Probabilidad",O168,"")),"")</f>
        <v>40%</v>
      </c>
      <c r="AE168" s="218" t="str">
        <f>LOOKUP(2,1/(AD168:AD173&lt;&gt;""),AD168:AD173)</f>
        <v>40%</v>
      </c>
      <c r="AF168" s="218">
        <f t="shared" ref="AF168" si="54">AE168*1</f>
        <v>0.4</v>
      </c>
      <c r="AG168" s="496" t="str">
        <f>IF(AND(AE168&lt;=20%),"Leve",IF(AND(AE168&gt;="21%",AE168&lt;="40%"),"Menor",IF(AND(AE168&gt;=41%,AE168&lt;=60%),"Moderado",IF(AND(AE168&gt;=61%,AE168&lt;=80%),"Mayor",IF(AND(AE168&gt;="81%",AE168&lt;="100%"),"Catastrófico",FALSE)))))</f>
        <v>Menor</v>
      </c>
      <c r="AH168" s="496" t="str">
        <f>IF(OR(AND(AC168="Media",AG168="Leve"),AND(AC168="Alta",AG168="Leve"),AND(AC168="Alta",AG168="Menor"),AND(AC168="Media",AG168="Menor"),AND(AC168="Baja",AG168="Menor"),AND(AC168="Media",AG168="Moderado"),AND(AC168="Baja",AG168="Moderado"),AND(AC168="Muy Baja",AG168="Moderado")),"Moderado",IF(OR(AND(AC168="Baja",AG168="Leve"),AND(AC168="Muy Baja",AG168="Leve"),AND(AC168="Muy Baja",AG168="Menor")),"Bajo",IF(OR(AND(AC168="Muy Alta",AG168="Leve"),AND(AC168="Muy Alta",AG168="Menor"),AND(AC168="Muy Alta",AG168="Moderado"),AND(AC168="Alta",AG168="Moderado"),AND(AC168="Muy Alta",AG168="Mayor"),AND(AC168="Alta",AG168="Mayor"),AND(AC168="Media",AG168="Mayor"),AND(AC168="Baja",AG168="Mayor"),AND(AC168="Muy Baja",AG168="Mayor")),"Alto",IF(OR(AND(AC168="Alta",AG168="Catastrófico"),AND(AC168="Muy Alta",AG168="Catastrófico"),AND(AC168="Media",AG168="Catastrófico"),AND(AC168="Baja",AG168="Catastrófico"),AND(AC168="Muy Baja",AG168="Catastrófico")),"Extremo",IF(AG168="Catastrófico","Extremo")))))</f>
        <v>Bajo</v>
      </c>
      <c r="AI168" s="496" t="s">
        <v>77</v>
      </c>
      <c r="AJ168" s="178"/>
      <c r="AK168" s="178"/>
      <c r="AL168" s="152"/>
      <c r="AM168" s="178"/>
      <c r="AN168" s="178"/>
      <c r="AO168" s="178"/>
      <c r="AP168" s="496" t="s">
        <v>435</v>
      </c>
      <c r="AQ168" s="539" t="s">
        <v>113</v>
      </c>
      <c r="FM168" s="89"/>
      <c r="FQ168" s="80"/>
    </row>
    <row r="169" spans="1:173" s="78" customFormat="1" ht="13.5" customHeight="1" x14ac:dyDescent="0.25">
      <c r="A169" s="200"/>
      <c r="B169" s="128" t="s">
        <v>413</v>
      </c>
      <c r="C169" s="200"/>
      <c r="D169" s="200"/>
      <c r="E169" s="200"/>
      <c r="F169" s="200"/>
      <c r="G169" s="200"/>
      <c r="H169" s="200"/>
      <c r="I169" s="210"/>
      <c r="J169" s="203"/>
      <c r="K169" s="497"/>
      <c r="L169" s="497"/>
      <c r="M169" s="497"/>
      <c r="N169" s="497"/>
      <c r="O169" s="510"/>
      <c r="P169" s="497"/>
      <c r="Q169" s="130"/>
      <c r="R169" s="133"/>
      <c r="S169" s="178"/>
      <c r="T169" s="178"/>
      <c r="U169" s="178"/>
      <c r="V169" s="178" t="str">
        <f t="shared" ref="V169:V173" si="55">IF(AND(T169=$FS$2,U169=$FT$2),"50%",IF(AND(T169=$FS$2,U169=$FT$3),"40%",IF(AND(T169=$FS$3,U169=$FT$2),"40%",IF(AND(T169=$FS$3,U169=$FT$3),"30%",IF(AND(T169=$FS$4,U169=$FT$2),"35%",IF(AND(T169=$FS$4,U169=$FT$3),"25%",""))))))</f>
        <v/>
      </c>
      <c r="W169" s="178"/>
      <c r="X169" s="178"/>
      <c r="Y169" s="178"/>
      <c r="Z169" s="131" t="str">
        <f>IFERROR(IF(AND(S168="Probabilidad",S169="Probabilidad"),(Z168-(+Z168*V169)),IF(S169="Probabilidad",(L168-(+L168*V169)),IF(S169="Impacto",Z168,""))),"")</f>
        <v/>
      </c>
      <c r="AA169" s="219"/>
      <c r="AB169" s="219"/>
      <c r="AC169" s="497"/>
      <c r="AD169" s="182" t="str">
        <f>IFERROR(IF(AND(S168="Impacto",V169="Impacto"),(AD168-(+AD168*V169)),IF(S169="Impacto",(O168-(+O168*V169)),IF(S169="Probabilidad",AD168,""))),"")</f>
        <v/>
      </c>
      <c r="AE169" s="219"/>
      <c r="AF169" s="219"/>
      <c r="AG169" s="497"/>
      <c r="AH169" s="497"/>
      <c r="AI169" s="497"/>
      <c r="AJ169" s="178"/>
      <c r="AK169" s="178"/>
      <c r="AL169" s="152"/>
      <c r="AM169" s="178"/>
      <c r="AN169" s="178"/>
      <c r="AO169" s="178"/>
      <c r="AP169" s="497"/>
      <c r="AQ169" s="537"/>
      <c r="FM169" s="89"/>
    </row>
    <row r="170" spans="1:173" s="78" customFormat="1" ht="13.5" customHeight="1" x14ac:dyDescent="0.25">
      <c r="A170" s="200"/>
      <c r="B170" s="128" t="s">
        <v>413</v>
      </c>
      <c r="C170" s="200"/>
      <c r="D170" s="200"/>
      <c r="E170" s="200"/>
      <c r="F170" s="200"/>
      <c r="G170" s="200"/>
      <c r="H170" s="200"/>
      <c r="I170" s="210"/>
      <c r="J170" s="203"/>
      <c r="K170" s="497"/>
      <c r="L170" s="497"/>
      <c r="M170" s="497"/>
      <c r="N170" s="497"/>
      <c r="O170" s="510"/>
      <c r="P170" s="497"/>
      <c r="Q170" s="130"/>
      <c r="R170" s="133"/>
      <c r="S170" s="178"/>
      <c r="T170" s="178"/>
      <c r="U170" s="178"/>
      <c r="V170" s="178" t="str">
        <f t="shared" si="55"/>
        <v/>
      </c>
      <c r="W170" s="178"/>
      <c r="X170" s="178"/>
      <c r="Y170" s="178"/>
      <c r="Z170" s="131" t="str">
        <f>IFERROR(IF(AND(S169="Probabilidad",S170="Probabilidad"),(Z169-(+Z169*V170)),IF(S170="Probabilidad",(L169-(+L169*V170)),IF(S170="Impacto",Z169,""))),"")</f>
        <v/>
      </c>
      <c r="AA170" s="219"/>
      <c r="AB170" s="219"/>
      <c r="AC170" s="497"/>
      <c r="AD170" s="182" t="str">
        <f t="shared" ref="AD170:AD173" si="56">IFERROR(IF(AND(S169="Impacto",V170="Impacto"),(AD169-(+AD169*V170)),IF(S170="Impacto",(O169-(+O169*V170)),IF(S170="Probabilidad",AD169,""))),"")</f>
        <v/>
      </c>
      <c r="AE170" s="219"/>
      <c r="AF170" s="219"/>
      <c r="AG170" s="497"/>
      <c r="AH170" s="497"/>
      <c r="AI170" s="497"/>
      <c r="AJ170" s="178"/>
      <c r="AK170" s="178"/>
      <c r="AL170" s="152"/>
      <c r="AM170" s="178"/>
      <c r="AN170" s="178"/>
      <c r="AO170" s="178"/>
      <c r="AP170" s="497"/>
      <c r="AQ170" s="537"/>
      <c r="FM170" s="89"/>
    </row>
    <row r="171" spans="1:173" s="78" customFormat="1" ht="13.5" customHeight="1" x14ac:dyDescent="0.25">
      <c r="A171" s="200"/>
      <c r="B171" s="128" t="s">
        <v>413</v>
      </c>
      <c r="C171" s="200"/>
      <c r="D171" s="200"/>
      <c r="E171" s="200"/>
      <c r="F171" s="200"/>
      <c r="G171" s="200"/>
      <c r="H171" s="200"/>
      <c r="I171" s="210"/>
      <c r="J171" s="203"/>
      <c r="K171" s="497"/>
      <c r="L171" s="497"/>
      <c r="M171" s="497"/>
      <c r="N171" s="497"/>
      <c r="O171" s="510"/>
      <c r="P171" s="497"/>
      <c r="Q171" s="130"/>
      <c r="R171" s="133"/>
      <c r="S171" s="178"/>
      <c r="T171" s="178"/>
      <c r="U171" s="178"/>
      <c r="V171" s="178" t="str">
        <f t="shared" si="55"/>
        <v/>
      </c>
      <c r="W171" s="178"/>
      <c r="X171" s="178"/>
      <c r="Y171" s="178"/>
      <c r="Z171" s="131" t="str">
        <f>IFERROR(IF(AND(S170="Probabilidad",S171="Probabilidad"),(Z170-(+Z170*V171)),IF(S171="Probabilidad",(L170-(+L170*V171)),IF(S171="Impacto",Z170,""))),"")</f>
        <v/>
      </c>
      <c r="AA171" s="219"/>
      <c r="AB171" s="219"/>
      <c r="AC171" s="497"/>
      <c r="AD171" s="182" t="str">
        <f t="shared" si="56"/>
        <v/>
      </c>
      <c r="AE171" s="219"/>
      <c r="AF171" s="219"/>
      <c r="AG171" s="497"/>
      <c r="AH171" s="497"/>
      <c r="AI171" s="497"/>
      <c r="AJ171" s="178"/>
      <c r="AK171" s="178"/>
      <c r="AL171" s="152"/>
      <c r="AM171" s="178"/>
      <c r="AN171" s="178"/>
      <c r="AO171" s="178"/>
      <c r="AP171" s="497"/>
      <c r="AQ171" s="537"/>
      <c r="FM171" s="89"/>
    </row>
    <row r="172" spans="1:173" s="78" customFormat="1" ht="13.5" customHeight="1" x14ac:dyDescent="0.25">
      <c r="A172" s="200"/>
      <c r="B172" s="128" t="s">
        <v>413</v>
      </c>
      <c r="C172" s="200"/>
      <c r="D172" s="200"/>
      <c r="E172" s="200"/>
      <c r="F172" s="200"/>
      <c r="G172" s="200"/>
      <c r="H172" s="200"/>
      <c r="I172" s="210"/>
      <c r="J172" s="203"/>
      <c r="K172" s="497"/>
      <c r="L172" s="497"/>
      <c r="M172" s="497"/>
      <c r="N172" s="497"/>
      <c r="O172" s="510"/>
      <c r="P172" s="497"/>
      <c r="Q172" s="130"/>
      <c r="R172" s="133"/>
      <c r="S172" s="178"/>
      <c r="T172" s="178"/>
      <c r="U172" s="178"/>
      <c r="V172" s="178" t="str">
        <f t="shared" si="55"/>
        <v/>
      </c>
      <c r="W172" s="178"/>
      <c r="X172" s="178"/>
      <c r="Y172" s="178"/>
      <c r="Z172" s="131" t="str">
        <f>IFERROR(IF(AND(S171="Probabilidad",S172="Probabilidad"),(Z171-(+Z171*V172)),IF(S172="Probabilidad",(L171-(+L171*V172)),IF(S172="Impacto",Z171,""))),"")</f>
        <v/>
      </c>
      <c r="AA172" s="219"/>
      <c r="AB172" s="219"/>
      <c r="AC172" s="497"/>
      <c r="AD172" s="182" t="str">
        <f t="shared" si="56"/>
        <v/>
      </c>
      <c r="AE172" s="219"/>
      <c r="AF172" s="219"/>
      <c r="AG172" s="497"/>
      <c r="AH172" s="497"/>
      <c r="AI172" s="497"/>
      <c r="AJ172" s="178"/>
      <c r="AK172" s="178"/>
      <c r="AL172" s="152"/>
      <c r="AM172" s="178"/>
      <c r="AN172" s="178"/>
      <c r="AO172" s="178"/>
      <c r="AP172" s="497"/>
      <c r="AQ172" s="537"/>
      <c r="FM172" s="89"/>
    </row>
    <row r="173" spans="1:173" s="78" customFormat="1" ht="13.5" customHeight="1" x14ac:dyDescent="0.25">
      <c r="A173" s="201"/>
      <c r="B173" s="128" t="s">
        <v>413</v>
      </c>
      <c r="C173" s="201"/>
      <c r="D173" s="201"/>
      <c r="E173" s="201"/>
      <c r="F173" s="201"/>
      <c r="G173" s="201"/>
      <c r="H173" s="201"/>
      <c r="I173" s="211"/>
      <c r="J173" s="204"/>
      <c r="K173" s="498"/>
      <c r="L173" s="498"/>
      <c r="M173" s="498"/>
      <c r="N173" s="498"/>
      <c r="O173" s="511"/>
      <c r="P173" s="498"/>
      <c r="Q173" s="130"/>
      <c r="R173" s="133"/>
      <c r="S173" s="178"/>
      <c r="T173" s="178"/>
      <c r="U173" s="178"/>
      <c r="V173" s="178" t="str">
        <f t="shared" si="55"/>
        <v/>
      </c>
      <c r="W173" s="178"/>
      <c r="X173" s="178"/>
      <c r="Y173" s="178"/>
      <c r="Z173" s="131" t="str">
        <f>IFERROR(IF(AND(S172="Probabilidad",S173="Probabilidad"),(Z172-(+Z172*V173)),IF(S173="Probabilidad",(L172-(+L172*V173)),IF(S173="Impacto",Z172,""))),"")</f>
        <v/>
      </c>
      <c r="AA173" s="220"/>
      <c r="AB173" s="220"/>
      <c r="AC173" s="498"/>
      <c r="AD173" s="182" t="str">
        <f t="shared" si="56"/>
        <v/>
      </c>
      <c r="AE173" s="220"/>
      <c r="AF173" s="220"/>
      <c r="AG173" s="498"/>
      <c r="AH173" s="498"/>
      <c r="AI173" s="498"/>
      <c r="AJ173" s="178"/>
      <c r="AK173" s="178"/>
      <c r="AL173" s="152"/>
      <c r="AM173" s="178"/>
      <c r="AN173" s="178"/>
      <c r="AO173" s="178"/>
      <c r="AP173" s="498"/>
      <c r="AQ173" s="538"/>
      <c r="FM173" s="89"/>
      <c r="FQ173" s="79"/>
    </row>
    <row r="174" spans="1:173" s="78" customFormat="1" ht="14.25" customHeight="1" x14ac:dyDescent="0.25">
      <c r="A174" s="199">
        <v>31</v>
      </c>
      <c r="B174" s="128" t="s">
        <v>413</v>
      </c>
      <c r="C174" s="199" t="s">
        <v>260</v>
      </c>
      <c r="D174" s="199" t="s">
        <v>436</v>
      </c>
      <c r="E174" s="199" t="s">
        <v>437</v>
      </c>
      <c r="F174" s="199" t="s">
        <v>438</v>
      </c>
      <c r="G174" s="199" t="s">
        <v>149</v>
      </c>
      <c r="H174" s="199" t="s">
        <v>267</v>
      </c>
      <c r="I174" s="199" t="s">
        <v>175</v>
      </c>
      <c r="J174" s="202">
        <v>2400</v>
      </c>
      <c r="K174" s="496" t="str">
        <f>IF(AND(J174&lt;=2),"Muy Baja",IF(AND(J174&gt;=3,J174&lt;=23),"Baja",IF(AND(J174&gt;=24,J174&lt;=499),"Media",IF(AND(J174&gt;=500,J174&lt;=4999),"Alta",IF(AND(J174&gt;=5000),"Muy Alta",FALSE)))))</f>
        <v>Alta</v>
      </c>
      <c r="L174" s="496" t="str">
        <f>IF(AND(J174&lt;=2),"20%",IF(AND(J174&gt;=3,J174&lt;=23),"40%",IF(AND(J174&gt;=24,J174&lt;=499),"60%",IF(AND(J174&gt;=500,J174&lt;=4999),"80%",IF(AND(J174&gt;=5000),"100%",FALSE)))))</f>
        <v>80%</v>
      </c>
      <c r="M174" s="496" t="s">
        <v>162</v>
      </c>
      <c r="N174" s="496" t="str">
        <f>IF(AND(M174=$FQ$4),"Leve",IF(AND(M174=$FQ$5),"Menor",IF(AND(M174=$FQ$6),"Moderado",IF(AND(M174=$FQ$7),"mayor",IF(AND(M174=$FQ$8),"Catastrófico",IF(AND(M174=$FQ$10),"Leve",IF(AND(M174=$FQ$11),"Menor",IF(AND(M174=$FQ$12),"Moderado",IF(AND(M174=$FQ$13),"Mayor",IF(AND(M174=$FQ$14),"Catastrófico",FALSE))))))))))</f>
        <v>Moderado</v>
      </c>
      <c r="O174" s="509" t="str">
        <f>IF(AND(N174="Leve"),"20%",IF(AND(N174="Menor"),"40%",IF(AND(N174="Moderado"),"60%",IF(AND(N174="Mayor"),"80%",IF(AND(N174="Catastrófico"),"100%","")))))</f>
        <v>60%</v>
      </c>
      <c r="P174" s="496" t="str">
        <f>IF(AND(L174&lt;="40%",O174="20%"),"Bajo",IF(AND(L174="60%",O174="20%"),"Moderado",IF(AND(L174="80%",O174="20%"),"Moderado",IF(AND(L174="100%",O174="20%"),"Alto",IF(AND(L174="20%",O174="40%"),"Bajo",IF(AND(L174="40%",O174="40%"),"Moderado",IF(AND(L174="60%",O174="40%"),"Moderado",IF(AND(L174="80%",O174="40%"),"Moderado",IF(AND(L174="100%",O174="40%"),"Alto",IF(AND(L174="20%",O174="60%"),"Moderado",IF(AND(L174="40%",O174="60%"),"Moderado",IF(AND(L174="60%",O174="60%"),"Moderado",IF(AND(L174="80%",O174="60%"),"Alto",IF(AND(L174="100%",O174="60%"),"Alto",IF(AND(L174="20%",O174="80%"),"Alto",IF(AND(L174="40%",O174="80%"),"Alto",IF(AND(L174="60%",O174="80%"),"Alto",IF(AND(L174="80%",O174="80%"),"Alto",IF(AND(L174="100%",O174="80%"),"Alto",IF(AND(L174="20%",O174="100%"),"Extremo",IF(AND(L174="40%",O174="100%"),"Extremo",IF(AND(L174="60%",O174="100%"),"Extremo",IF(AND(L174="80%",O174="100%"),"Moderado",IF(AND(L174="100%",O174="100%"),"Extremo",""""))))))))))))))))))))))))</f>
        <v>Alto</v>
      </c>
      <c r="Q174" s="130">
        <v>1</v>
      </c>
      <c r="R174" s="133" t="s">
        <v>439</v>
      </c>
      <c r="S174" s="178" t="s">
        <v>237</v>
      </c>
      <c r="T174" s="178" t="s">
        <v>152</v>
      </c>
      <c r="U174" s="178" t="s">
        <v>153</v>
      </c>
      <c r="V174" s="178" t="str">
        <f>IF(AND(T174=$FS$2,U174=$FT$2),"50%",IF(AND(T174=$FS$2,U174=$FT$3),"40%",IF(AND(T174=$FS$3,U174=$FT$2),"40%",IF(AND(T174=$FS$3,U174=$FT$3),"30%",IF(AND(T174=$FS$4,U174=$FT$2),"35%",IF(AND(T174=$FS$4,U174=$FT$3),"25%",""))))))</f>
        <v>40%</v>
      </c>
      <c r="W174" s="178" t="s">
        <v>154</v>
      </c>
      <c r="X174" s="178" t="s">
        <v>155</v>
      </c>
      <c r="Y174" s="178" t="s">
        <v>156</v>
      </c>
      <c r="Z174" s="131">
        <f>IFERROR(IF(S174="Probabilidad",(L174-(+L174*V174)),IF(S174="Impacto",L174,"")),"")</f>
        <v>0.48</v>
      </c>
      <c r="AA174" s="218">
        <f>LOOKUP(2,1/(Z174:Z179&lt;&gt;""),Z174:Z179)</f>
        <v>0.10367999999999998</v>
      </c>
      <c r="AB174" s="218">
        <f t="shared" ref="AB174" si="57">AA174*1</f>
        <v>0.10367999999999998</v>
      </c>
      <c r="AC174" s="496" t="str">
        <f>IF(AND(AA174&lt;=20%),"Muy Baja",IF(AND(AA174&gt;=21%,AA174&lt;=40%),"Baja",IF(AND(AA174&gt;=41%,AA174&lt;=60%),"Media",IF(AND(AA174&gt;=61%,AA174&lt;=80%),"Alta",IF(AND(AA174&gt;=81%,AA174&gt;=100%),"Muy Alta",FALSE)))))</f>
        <v>Muy Baja</v>
      </c>
      <c r="AD174" s="182" t="str">
        <f>IFERROR(IF(S174="Impacto",(O174-(+O174*V174)),IF(S174="Probabilidad",O174,"")),"")</f>
        <v>60%</v>
      </c>
      <c r="AE174" s="218" t="str">
        <f>LOOKUP(2,1/(AD174:AD179&lt;&gt;""),AD174:AD179)</f>
        <v>60%</v>
      </c>
      <c r="AF174" s="218">
        <f t="shared" ref="AF174" si="58">AE174*1</f>
        <v>0.6</v>
      </c>
      <c r="AG174" s="496" t="str">
        <f>IF(AND(AE174&lt;=20%),"Leve",IF(AND(AE174&gt;=21%,AE174&lt;=40%),"Menor",IF(AND(AE174&gt;=41%,AE174&lt;="60%"),"Moderado",IF(AND(AE174&gt;=61%,AE174&lt;=80%),"Mayor",IF(AND(AE174&gt;=81%,AE174&gt;=100%),"Catastrófico",FALSE)))))</f>
        <v>Moderado</v>
      </c>
      <c r="AH174" s="496" t="str">
        <f>IF(OR(AND(AC174="Media",AG174="Leve"),AND(AC174="Alta",AG174="Leve"),AND(AC174="Alta",AG174="Menor"),AND(AC174="Media",AG174="Menor"),AND(AC174="Baja",AG174="Menor"),AND(AC174="Media",AG174="Moderado"),AND(AC174="Baja",AG174="Moderado"),AND(AC174="Muy Baja",AG174="Moderado")),"Moderado",IF(OR(AND(AC174="Baja",AG174="Leve"),AND(AC174="Muy Baja",AG174="Leve"),AND(AC174="Muy Baja",AG174="Menor")),"Bajo",IF(OR(AND(AC174="Muy Alta",AG174="Leve"),AND(AC174="Muy Alta",AG174="Menor"),AND(AC174="Muy Alta",AG174="Moderado"),AND(AC174="Alta",AG174="Moderado"),AND(AC174="Muy Alta",AG174="Mayor"),AND(AC174="Alta",AG174="Mayor"),AND(AC174="Media",AG174="Mayor"),AND(AC174="Baja",AG174="Mayor"),AND(AC174="Muy Baja",AG174="Mayor")),"Alto",IF(OR(AND(AC174="Alta",AG174="Catastrófico"),AND(AC174="Muy Alta",AG174="Catastrófico"),AND(AC174="Media",AG174="Catastrófico"),AND(AC174="Baja",AG174="Catastrófico"),AND(AC174="Muy Baja",AG174="Catastrófico")),"Extremo",IF(AG174="Catastrófico","Extremo")))))</f>
        <v>Moderado</v>
      </c>
      <c r="AI174" s="496" t="s">
        <v>77</v>
      </c>
      <c r="AJ174" s="178"/>
      <c r="AK174" s="178"/>
      <c r="AL174" s="153"/>
      <c r="AM174" s="178"/>
      <c r="AN174" s="178"/>
      <c r="AO174" s="178"/>
      <c r="AP174" s="496" t="s">
        <v>97</v>
      </c>
      <c r="AQ174" s="539" t="s">
        <v>113</v>
      </c>
      <c r="FM174" s="89"/>
      <c r="FQ174" s="80"/>
    </row>
    <row r="175" spans="1:173" s="78" customFormat="1" ht="14.25" customHeight="1" x14ac:dyDescent="0.25">
      <c r="A175" s="200"/>
      <c r="B175" s="128" t="s">
        <v>413</v>
      </c>
      <c r="C175" s="200"/>
      <c r="D175" s="200"/>
      <c r="E175" s="200"/>
      <c r="F175" s="200"/>
      <c r="G175" s="200"/>
      <c r="H175" s="200"/>
      <c r="I175" s="200"/>
      <c r="J175" s="203"/>
      <c r="K175" s="497"/>
      <c r="L175" s="497"/>
      <c r="M175" s="497"/>
      <c r="N175" s="497"/>
      <c r="O175" s="510"/>
      <c r="P175" s="497"/>
      <c r="Q175" s="130">
        <v>2</v>
      </c>
      <c r="R175" s="133" t="s">
        <v>95</v>
      </c>
      <c r="S175" s="178" t="s">
        <v>237</v>
      </c>
      <c r="T175" s="178" t="s">
        <v>152</v>
      </c>
      <c r="U175" s="178" t="s">
        <v>153</v>
      </c>
      <c r="V175" s="178" t="str">
        <f t="shared" ref="V175:V191" si="59">IF(AND(T175=$FS$2,U175=$FT$2),"50%",IF(AND(T175=$FS$2,U175=$FT$3),"40%",IF(AND(T175=$FS$3,U175=$FT$2),"40%",IF(AND(T175=$FS$3,U175=$FT$3),"30%",IF(AND(T175=$FS$4,U175=$FT$2),"35%",IF(AND(T175=$FS$4,U175=$FT$3),"25%",""))))))</f>
        <v>40%</v>
      </c>
      <c r="W175" s="178" t="s">
        <v>161</v>
      </c>
      <c r="X175" s="178" t="s">
        <v>155</v>
      </c>
      <c r="Y175" s="178" t="s">
        <v>156</v>
      </c>
      <c r="Z175" s="131">
        <f>IFERROR(IF(AND(S174="Probabilidad",S175="Probabilidad"),(Z174-(+Z174*V175)),IF(S175="Probabilidad",(L174-(+L174*V175)),IF(S175="Impacto",Z174,""))),"")</f>
        <v>0.28799999999999998</v>
      </c>
      <c r="AA175" s="219"/>
      <c r="AB175" s="219"/>
      <c r="AC175" s="497"/>
      <c r="AD175" s="182" t="str">
        <f>IFERROR(IF(AND(S174="Impacto",V175="Impacto"),(AD174-(+AD174*V175)),IF(S175="Impacto",(O174-(+O174*V175)),IF(S175="Probabilidad",AD174,""))),"")</f>
        <v>60%</v>
      </c>
      <c r="AE175" s="219"/>
      <c r="AF175" s="219"/>
      <c r="AG175" s="497"/>
      <c r="AH175" s="497"/>
      <c r="AI175" s="497"/>
      <c r="AJ175" s="178"/>
      <c r="AK175" s="178"/>
      <c r="AL175" s="153"/>
      <c r="AM175" s="178"/>
      <c r="AN175" s="178"/>
      <c r="AO175" s="178"/>
      <c r="AP175" s="497"/>
      <c r="AQ175" s="537"/>
      <c r="FM175" s="89"/>
    </row>
    <row r="176" spans="1:173" s="78" customFormat="1" ht="14.25" customHeight="1" x14ac:dyDescent="0.25">
      <c r="A176" s="200"/>
      <c r="B176" s="128" t="s">
        <v>413</v>
      </c>
      <c r="C176" s="200"/>
      <c r="D176" s="200"/>
      <c r="E176" s="200"/>
      <c r="F176" s="200"/>
      <c r="G176" s="200"/>
      <c r="H176" s="200"/>
      <c r="I176" s="200"/>
      <c r="J176" s="203"/>
      <c r="K176" s="497"/>
      <c r="L176" s="497"/>
      <c r="M176" s="497"/>
      <c r="N176" s="497"/>
      <c r="O176" s="510"/>
      <c r="P176" s="497"/>
      <c r="Q176" s="130">
        <v>3</v>
      </c>
      <c r="R176" s="133" t="s">
        <v>176</v>
      </c>
      <c r="S176" s="178" t="s">
        <v>237</v>
      </c>
      <c r="T176" s="178" t="s">
        <v>152</v>
      </c>
      <c r="U176" s="178" t="s">
        <v>153</v>
      </c>
      <c r="V176" s="178" t="str">
        <f t="shared" si="59"/>
        <v>40%</v>
      </c>
      <c r="W176" s="178" t="s">
        <v>161</v>
      </c>
      <c r="X176" s="178" t="s">
        <v>155</v>
      </c>
      <c r="Y176" s="178" t="s">
        <v>156</v>
      </c>
      <c r="Z176" s="131">
        <f>IFERROR(IF(AND(S175="Probabilidad",S176="Probabilidad"),(Z175-(+Z175*V176)),IF(S176="Probabilidad",(L175-(+L175*V176)),IF(S176="Impacto",Z175,""))),"")</f>
        <v>0.17279999999999998</v>
      </c>
      <c r="AA176" s="219"/>
      <c r="AB176" s="219"/>
      <c r="AC176" s="497"/>
      <c r="AD176" s="182" t="str">
        <f t="shared" ref="AD176:AD179" si="60">IFERROR(IF(AND(S175="Impacto",V176="Impacto"),(AD175-(+AD175*V176)),IF(S176="Impacto",(O175-(+O175*V176)),IF(S176="Probabilidad",AD175,""))),"")</f>
        <v>60%</v>
      </c>
      <c r="AE176" s="219"/>
      <c r="AF176" s="219"/>
      <c r="AG176" s="497"/>
      <c r="AH176" s="497"/>
      <c r="AI176" s="497"/>
      <c r="AJ176" s="178"/>
      <c r="AK176" s="178"/>
      <c r="AL176" s="152"/>
      <c r="AM176" s="178"/>
      <c r="AN176" s="178"/>
      <c r="AO176" s="178"/>
      <c r="AP176" s="497"/>
      <c r="AQ176" s="537"/>
      <c r="FM176" s="89"/>
    </row>
    <row r="177" spans="1:181" s="78" customFormat="1" ht="14.25" customHeight="1" x14ac:dyDescent="0.25">
      <c r="A177" s="200"/>
      <c r="B177" s="128" t="s">
        <v>413</v>
      </c>
      <c r="C177" s="200"/>
      <c r="D177" s="200"/>
      <c r="E177" s="200"/>
      <c r="F177" s="200"/>
      <c r="G177" s="200"/>
      <c r="H177" s="200"/>
      <c r="I177" s="200"/>
      <c r="J177" s="203"/>
      <c r="K177" s="497"/>
      <c r="L177" s="497"/>
      <c r="M177" s="497"/>
      <c r="N177" s="497"/>
      <c r="O177" s="510"/>
      <c r="P177" s="497"/>
      <c r="Q177" s="130">
        <v>4</v>
      </c>
      <c r="R177" s="133" t="s">
        <v>441</v>
      </c>
      <c r="S177" s="178" t="s">
        <v>237</v>
      </c>
      <c r="T177" s="178" t="s">
        <v>152</v>
      </c>
      <c r="U177" s="178" t="s">
        <v>153</v>
      </c>
      <c r="V177" s="178" t="str">
        <f t="shared" si="59"/>
        <v>40%</v>
      </c>
      <c r="W177" s="178" t="s">
        <v>161</v>
      </c>
      <c r="X177" s="178" t="s">
        <v>164</v>
      </c>
      <c r="Y177" s="178" t="s">
        <v>156</v>
      </c>
      <c r="Z177" s="131">
        <f>IFERROR(IF(AND(S176="Probabilidad",S177="Probabilidad"),(Z176-(+Z176*V177)),IF(S177="Probabilidad",(L176-(+L176*V177)),IF(S177="Impacto",Z176,""))),"")</f>
        <v>0.10367999999999998</v>
      </c>
      <c r="AA177" s="219"/>
      <c r="AB177" s="219"/>
      <c r="AC177" s="497"/>
      <c r="AD177" s="182" t="str">
        <f t="shared" si="60"/>
        <v>60%</v>
      </c>
      <c r="AE177" s="219"/>
      <c r="AF177" s="219"/>
      <c r="AG177" s="497"/>
      <c r="AH177" s="497"/>
      <c r="AI177" s="497"/>
      <c r="AJ177" s="178"/>
      <c r="AK177" s="178"/>
      <c r="AL177" s="152"/>
      <c r="AM177" s="178"/>
      <c r="AN177" s="178"/>
      <c r="AO177" s="178"/>
      <c r="AP177" s="497"/>
      <c r="AQ177" s="537"/>
      <c r="FM177" s="89"/>
    </row>
    <row r="178" spans="1:181" s="78" customFormat="1" ht="14.25" customHeight="1" x14ac:dyDescent="0.25">
      <c r="A178" s="200"/>
      <c r="B178" s="128" t="s">
        <v>413</v>
      </c>
      <c r="C178" s="200"/>
      <c r="D178" s="200"/>
      <c r="E178" s="200"/>
      <c r="F178" s="200"/>
      <c r="G178" s="200"/>
      <c r="H178" s="200"/>
      <c r="I178" s="200"/>
      <c r="J178" s="203"/>
      <c r="K178" s="497"/>
      <c r="L178" s="497"/>
      <c r="M178" s="497"/>
      <c r="N178" s="497"/>
      <c r="O178" s="510"/>
      <c r="P178" s="497"/>
      <c r="Q178" s="130"/>
      <c r="R178" s="133"/>
      <c r="S178" s="178"/>
      <c r="T178" s="178"/>
      <c r="U178" s="178"/>
      <c r="V178" s="178" t="str">
        <f t="shared" si="59"/>
        <v/>
      </c>
      <c r="W178" s="178"/>
      <c r="X178" s="178"/>
      <c r="Y178" s="178"/>
      <c r="Z178" s="131" t="str">
        <f>IFERROR(IF(AND(S177="Probabilidad",S178="Probabilidad"),(Z177-(+Z177*V178)),IF(S178="Probabilidad",(L177-(+L177*V178)),IF(S178="Impacto",Z177,""))),"")</f>
        <v/>
      </c>
      <c r="AA178" s="219"/>
      <c r="AB178" s="219"/>
      <c r="AC178" s="497"/>
      <c r="AD178" s="182" t="str">
        <f t="shared" si="60"/>
        <v/>
      </c>
      <c r="AE178" s="219"/>
      <c r="AF178" s="219"/>
      <c r="AG178" s="497"/>
      <c r="AH178" s="497"/>
      <c r="AI178" s="497"/>
      <c r="AJ178" s="178"/>
      <c r="AK178" s="178"/>
      <c r="AL178" s="152"/>
      <c r="AM178" s="178"/>
      <c r="AN178" s="178"/>
      <c r="AO178" s="178"/>
      <c r="AP178" s="497"/>
      <c r="AQ178" s="537"/>
      <c r="FM178" s="89"/>
    </row>
    <row r="179" spans="1:181" s="78" customFormat="1" ht="14.25" customHeight="1" x14ac:dyDescent="0.2">
      <c r="A179" s="201"/>
      <c r="B179" s="128" t="s">
        <v>413</v>
      </c>
      <c r="C179" s="201"/>
      <c r="D179" s="201"/>
      <c r="E179" s="201"/>
      <c r="F179" s="201"/>
      <c r="G179" s="201"/>
      <c r="H179" s="201"/>
      <c r="I179" s="201"/>
      <c r="J179" s="204"/>
      <c r="K179" s="498"/>
      <c r="L179" s="498"/>
      <c r="M179" s="498"/>
      <c r="N179" s="498"/>
      <c r="O179" s="511"/>
      <c r="P179" s="498"/>
      <c r="Q179" s="130"/>
      <c r="R179" s="133"/>
      <c r="S179" s="178"/>
      <c r="T179" s="178"/>
      <c r="U179" s="178"/>
      <c r="V179" s="178" t="str">
        <f t="shared" si="59"/>
        <v/>
      </c>
      <c r="W179" s="178"/>
      <c r="X179" s="178"/>
      <c r="Y179" s="178"/>
      <c r="Z179" s="131" t="str">
        <f>IFERROR(IF(AND(S178="Probabilidad",S179="Probabilidad"),(Z178-(+Z178*V179)),IF(S179="Probabilidad",(L178-(+L178*V179)),IF(S179="Impacto",Z178,""))),"")</f>
        <v/>
      </c>
      <c r="AA179" s="220"/>
      <c r="AB179" s="220"/>
      <c r="AC179" s="498"/>
      <c r="AD179" s="182" t="str">
        <f t="shared" si="60"/>
        <v/>
      </c>
      <c r="AE179" s="220"/>
      <c r="AF179" s="220"/>
      <c r="AG179" s="498"/>
      <c r="AH179" s="498"/>
      <c r="AI179" s="498"/>
      <c r="AJ179" s="178"/>
      <c r="AK179" s="178"/>
      <c r="AL179" s="152"/>
      <c r="AM179" s="178"/>
      <c r="AN179" s="178"/>
      <c r="AO179" s="178"/>
      <c r="AP179" s="498"/>
      <c r="AQ179" s="538"/>
      <c r="FM179" s="90"/>
      <c r="FN179" s="87"/>
      <c r="FO179" s="87"/>
      <c r="FP179" s="87"/>
      <c r="FQ179" s="87"/>
      <c r="FR179" s="87"/>
      <c r="FS179" s="87"/>
      <c r="FT179" s="87"/>
      <c r="FU179" s="87"/>
      <c r="FV179" s="87"/>
      <c r="FW179" s="87"/>
      <c r="FX179" s="87"/>
      <c r="FY179" s="87"/>
    </row>
    <row r="180" spans="1:181" s="78" customFormat="1" ht="13.5" customHeight="1" x14ac:dyDescent="0.25">
      <c r="A180" s="567">
        <v>32</v>
      </c>
      <c r="B180" s="126" t="s">
        <v>476</v>
      </c>
      <c r="C180" s="472" t="s">
        <v>248</v>
      </c>
      <c r="D180" s="470" t="s">
        <v>812</v>
      </c>
      <c r="E180" s="470" t="s">
        <v>455</v>
      </c>
      <c r="F180" s="568" t="s">
        <v>813</v>
      </c>
      <c r="G180" s="463" t="s">
        <v>149</v>
      </c>
      <c r="H180" s="199" t="s">
        <v>150</v>
      </c>
      <c r="I180" s="506" t="s">
        <v>151</v>
      </c>
      <c r="J180" s="503">
        <v>1000</v>
      </c>
      <c r="K180" s="496" t="str">
        <f>IF(AND(J180&lt;=2),"Muy Baja",IF(AND(J180&gt;=3,J180&lt;=23),"Baja",IF(AND(J180&gt;=24,J180&lt;=499),"Media",IF(AND(J180&gt;=500,J180&lt;=4999),"Alta",IF(AND(J180&gt;=5000),"Muy Alta",FALSE)))))</f>
        <v>Alta</v>
      </c>
      <c r="L180" s="496" t="str">
        <f>IF(AND(J180&lt;=2),"20%",IF(AND(J180&gt;=3,J180&lt;=23),"40%",IF(AND(J180&gt;=24,J180&lt;=499),"60%",IF(AND(J180&gt;=500,J180&lt;=4999),"80%",IF(AND(J180&gt;=5000),"100%",FALSE)))))</f>
        <v>80%</v>
      </c>
      <c r="M180" s="496" t="s">
        <v>162</v>
      </c>
      <c r="N180" s="496" t="str">
        <f>IF(AND(M180=$FQ$4),"Leve",IF(AND(M180=$FQ$5),"Menor",IF(AND(M180=$FQ$6),"Moderado",IF(AND(M180=$FQ$7),"mayor",IF(AND(M180=$FQ$8),"Catastrófico",IF(AND(M180=$FQ$10),"Leve",IF(AND(M180=$FQ$11),"Menor",IF(AND(M180=$FQ$12),"Moderado",IF(AND(M180=$FQ$13),"Mayor",IF(AND(M180=$FQ$14),"Catastrófico",FALSE))))))))))</f>
        <v>Moderado</v>
      </c>
      <c r="O180" s="509" t="str">
        <f>IF(AND(N180="Leve"),"20%",IF(AND(N180="Menor"),"40%",IF(AND(N180="Moderado"),"60%",IF(AND(N180="Mayor"),"80%",IF(AND(N180="Catastrófico"),"100%","")))))</f>
        <v>60%</v>
      </c>
      <c r="P180" s="496" t="str">
        <f>INDEX('[5]MATRIZ RIESGO'!$D$6:$H$10,MATCH(K180,'[5]MATRIZ RIESGO'!$C$6:$C$10,),MATCH(N180,'[5]MATRIZ RIESGO'!$D$5:$H$5,))</f>
        <v>Alto</v>
      </c>
      <c r="Q180" s="386">
        <v>1</v>
      </c>
      <c r="R180" s="140" t="s">
        <v>456</v>
      </c>
      <c r="S180" s="173" t="s">
        <v>237</v>
      </c>
      <c r="T180" s="173" t="s">
        <v>152</v>
      </c>
      <c r="U180" s="173" t="s">
        <v>153</v>
      </c>
      <c r="V180" s="178" t="str">
        <f t="shared" si="59"/>
        <v>40%</v>
      </c>
      <c r="W180" s="173" t="s">
        <v>154</v>
      </c>
      <c r="X180" s="173" t="s">
        <v>155</v>
      </c>
      <c r="Y180" s="173" t="s">
        <v>156</v>
      </c>
      <c r="Z180" s="131">
        <f>IFERROR(IF(S180="Probabilidad",(L180-(+L180*V180)),IF(S180="Impacto",L180,"")),"")</f>
        <v>0.48</v>
      </c>
      <c r="AA180" s="218">
        <f>LOOKUP(2,1/(Z180:Z185&lt;&gt;""),Z180:Z185)</f>
        <v>0.17279999999999998</v>
      </c>
      <c r="AB180" s="218">
        <f>AA180*1</f>
        <v>0.17279999999999998</v>
      </c>
      <c r="AC180" s="496" t="str">
        <f>IF(AND(AB180&lt;=20%),"Muy Baja",IF(AND(AB180&gt;=21%,AB180&lt;=40%),"Baja",IF(AND(AB180&gt;=41%,AB180&lt;=60%),"Media",IF(AND(AB180&gt;=61%,AB180&lt;=80%),"Alta",IF(AND(AB180&gt;=81%,AB180&gt;=100%),"Muy Alta",FALSE)))))</f>
        <v>Muy Baja</v>
      </c>
      <c r="AD180" s="182" t="str">
        <f>IFERROR(IF(S180="Impacto",(O180-(+O180*V180)),IF(S180="Probabilidad",O180,"")),"")</f>
        <v>60%</v>
      </c>
      <c r="AE180" s="218" t="str">
        <f>LOOKUP(2,1/(AD180:AD185&lt;&gt;""),AD180:AD185)</f>
        <v>60%</v>
      </c>
      <c r="AF180" s="218">
        <f>AE180*1</f>
        <v>0.6</v>
      </c>
      <c r="AG180" s="496" t="str">
        <f>CHOOSE((AF180&gt;=0%)+(AF180&gt;=21%)+(AF180&gt;=41%)+(AF180&gt;=61%)+(AF180&gt;=81%),"Leve","Menor","Moderado","Mayor","Catastrófico")</f>
        <v>Moderado</v>
      </c>
      <c r="AH180" s="496" t="str">
        <f>INDEX('[5]MATRIZ RIESGO'!$D$6:$H$10,MATCH(AC180,'[5]MATRIZ RIESGO'!$C$6:$C$10,),MATCH(AG180,'[5]MATRIZ RIESGO'!$D$5:$H$5,))</f>
        <v>Moderado</v>
      </c>
      <c r="AI180" s="496" t="s">
        <v>111</v>
      </c>
      <c r="AJ180" s="183"/>
      <c r="AK180" s="383"/>
      <c r="AL180" s="384"/>
      <c r="AM180" s="383"/>
      <c r="AN180" s="383"/>
      <c r="AO180" s="183"/>
      <c r="AP180" s="496" t="s">
        <v>457</v>
      </c>
      <c r="AQ180" s="539" t="s">
        <v>113</v>
      </c>
      <c r="FM180" s="89"/>
      <c r="FP180" s="78" t="s">
        <v>255</v>
      </c>
      <c r="FQ180" s="80" t="s">
        <v>256</v>
      </c>
    </row>
    <row r="181" spans="1:181" s="78" customFormat="1" ht="13.5" customHeight="1" x14ac:dyDescent="0.2">
      <c r="A181" s="447"/>
      <c r="B181" s="126" t="s">
        <v>476</v>
      </c>
      <c r="C181" s="325"/>
      <c r="D181" s="441"/>
      <c r="E181" s="441"/>
      <c r="F181" s="524"/>
      <c r="G181" s="438"/>
      <c r="H181" s="200"/>
      <c r="I181" s="507"/>
      <c r="J181" s="504"/>
      <c r="K181" s="497"/>
      <c r="L181" s="497"/>
      <c r="M181" s="497"/>
      <c r="N181" s="497"/>
      <c r="O181" s="510"/>
      <c r="P181" s="497"/>
      <c r="Q181" s="386">
        <v>2</v>
      </c>
      <c r="R181" s="141" t="s">
        <v>458</v>
      </c>
      <c r="S181" s="173" t="s">
        <v>237</v>
      </c>
      <c r="T181" s="173" t="s">
        <v>152</v>
      </c>
      <c r="U181" s="173" t="s">
        <v>153</v>
      </c>
      <c r="V181" s="178" t="str">
        <f t="shared" si="59"/>
        <v>40%</v>
      </c>
      <c r="W181" s="173" t="s">
        <v>154</v>
      </c>
      <c r="X181" s="173" t="s">
        <v>155</v>
      </c>
      <c r="Y181" s="173" t="s">
        <v>156</v>
      </c>
      <c r="Z181" s="131">
        <f>IFERROR(IF(AND(S180="Probabilidad",S181="Probabilidad"),(Z180-(+Z180*V181)),IF(S181="Probabilidad",(L180-(+L180*V181)),IF(S181="Impacto",Z180,""))),"")</f>
        <v>0.28799999999999998</v>
      </c>
      <c r="AA181" s="219"/>
      <c r="AB181" s="219"/>
      <c r="AC181" s="497"/>
      <c r="AD181" s="182" t="str">
        <f>IFERROR(IF(AND(S180="Impacto",V181="Impacto"),(AD180-(+AD180*V181)),IF(S181="Impacto",(O180-(+O180*V181)),IF(S181="Probabilidad",AD180,""))),"")</f>
        <v>60%</v>
      </c>
      <c r="AE181" s="219"/>
      <c r="AF181" s="219"/>
      <c r="AG181" s="497"/>
      <c r="AH181" s="497"/>
      <c r="AI181" s="497"/>
      <c r="AJ181" s="183"/>
      <c r="AK181" s="383"/>
      <c r="AL181" s="384"/>
      <c r="AM181" s="383"/>
      <c r="AN181" s="383"/>
      <c r="AO181" s="183"/>
      <c r="AP181" s="497"/>
      <c r="AQ181" s="537"/>
      <c r="FM181" s="89"/>
      <c r="FP181" s="78" t="s">
        <v>196</v>
      </c>
      <c r="FQ181" s="87" t="s">
        <v>158</v>
      </c>
    </row>
    <row r="182" spans="1:181" s="78" customFormat="1" ht="13.5" customHeight="1" x14ac:dyDescent="0.2">
      <c r="A182" s="447"/>
      <c r="B182" s="126" t="s">
        <v>476</v>
      </c>
      <c r="C182" s="325"/>
      <c r="D182" s="441"/>
      <c r="E182" s="441"/>
      <c r="F182" s="524"/>
      <c r="G182" s="438"/>
      <c r="H182" s="200"/>
      <c r="I182" s="507"/>
      <c r="J182" s="504"/>
      <c r="K182" s="497"/>
      <c r="L182" s="497"/>
      <c r="M182" s="497"/>
      <c r="N182" s="497"/>
      <c r="O182" s="510"/>
      <c r="P182" s="497"/>
      <c r="Q182" s="386">
        <v>3</v>
      </c>
      <c r="R182" s="141" t="s">
        <v>459</v>
      </c>
      <c r="S182" s="173" t="s">
        <v>237</v>
      </c>
      <c r="T182" s="173" t="s">
        <v>152</v>
      </c>
      <c r="U182" s="173" t="s">
        <v>153</v>
      </c>
      <c r="V182" s="178" t="str">
        <f t="shared" si="59"/>
        <v>40%</v>
      </c>
      <c r="W182" s="173" t="s">
        <v>154</v>
      </c>
      <c r="X182" s="173" t="s">
        <v>155</v>
      </c>
      <c r="Y182" s="173" t="s">
        <v>156</v>
      </c>
      <c r="Z182" s="131">
        <f>IFERROR(IF(AND(S181="Probabilidad",S182="Probabilidad"),(Z181-(+Z181*V182)),IF(S182="Probabilidad",(L181-(+L181*V182)),IF(S182="Impacto",Z181,""))),"")</f>
        <v>0.17279999999999998</v>
      </c>
      <c r="AA182" s="219"/>
      <c r="AB182" s="219"/>
      <c r="AC182" s="497"/>
      <c r="AD182" s="182" t="str">
        <f>IFERROR(IF(AND(S181="Impacto",V182="Impacto"),(AD181-(+AD181*V182)),IF(S182="Impacto",(O181-(+O181*V182)),IF(S182="Probabilidad",AD181,""))),"")</f>
        <v>60%</v>
      </c>
      <c r="AE182" s="219"/>
      <c r="AF182" s="219"/>
      <c r="AG182" s="497"/>
      <c r="AH182" s="497"/>
      <c r="AI182" s="497"/>
      <c r="AJ182" s="183"/>
      <c r="AK182" s="383"/>
      <c r="AL182" s="384"/>
      <c r="AM182" s="383"/>
      <c r="AN182" s="383"/>
      <c r="AO182" s="183"/>
      <c r="AP182" s="497"/>
      <c r="AQ182" s="537"/>
      <c r="FM182" s="89"/>
      <c r="FQ182" s="87" t="s">
        <v>160</v>
      </c>
    </row>
    <row r="183" spans="1:181" s="78" customFormat="1" ht="13.5" customHeight="1" x14ac:dyDescent="0.2">
      <c r="A183" s="447"/>
      <c r="B183" s="126" t="s">
        <v>476</v>
      </c>
      <c r="C183" s="325"/>
      <c r="D183" s="441"/>
      <c r="E183" s="441"/>
      <c r="F183" s="524"/>
      <c r="G183" s="438"/>
      <c r="H183" s="200"/>
      <c r="I183" s="507"/>
      <c r="J183" s="504"/>
      <c r="K183" s="497"/>
      <c r="L183" s="497"/>
      <c r="M183" s="497"/>
      <c r="N183" s="497"/>
      <c r="O183" s="510"/>
      <c r="P183" s="497"/>
      <c r="Q183" s="386"/>
      <c r="R183" s="141"/>
      <c r="S183" s="173"/>
      <c r="T183" s="173"/>
      <c r="U183" s="173"/>
      <c r="V183" s="178" t="str">
        <f t="shared" si="59"/>
        <v/>
      </c>
      <c r="W183" s="173"/>
      <c r="X183" s="173"/>
      <c r="Y183" s="173"/>
      <c r="Z183" s="131" t="str">
        <f>IFERROR(IF(AND(S182="Probabilidad",S183="Probabilidad"),(Z182-(+Z182*V183)),IF(S183="Probabilidad",(L182-(+L182*V183)),IF(S183="Impacto",Z182,""))),"")</f>
        <v/>
      </c>
      <c r="AA183" s="219"/>
      <c r="AB183" s="219"/>
      <c r="AC183" s="497"/>
      <c r="AD183" s="182" t="str">
        <f>IFERROR(IF(AND(S182="Impacto",V183="Impacto"),(AD182-(+AD182*V183)),IF(S183="Impacto",(O182-(+O182*V183)),IF(S183="Probabilidad",AD182,""))),"")</f>
        <v/>
      </c>
      <c r="AE183" s="219"/>
      <c r="AF183" s="219"/>
      <c r="AG183" s="497"/>
      <c r="AH183" s="497"/>
      <c r="AI183" s="497"/>
      <c r="AJ183" s="183"/>
      <c r="AK183" s="383"/>
      <c r="AL183" s="384"/>
      <c r="AM183" s="383"/>
      <c r="AN183" s="383"/>
      <c r="AO183" s="183"/>
      <c r="AP183" s="497"/>
      <c r="AQ183" s="537"/>
      <c r="FM183" s="89"/>
      <c r="FQ183" s="87" t="s">
        <v>162</v>
      </c>
    </row>
    <row r="184" spans="1:181" s="78" customFormat="1" ht="13.5" customHeight="1" x14ac:dyDescent="0.2">
      <c r="A184" s="447"/>
      <c r="B184" s="126" t="s">
        <v>476</v>
      </c>
      <c r="C184" s="325"/>
      <c r="D184" s="441"/>
      <c r="E184" s="441"/>
      <c r="F184" s="524"/>
      <c r="G184" s="438"/>
      <c r="H184" s="200"/>
      <c r="I184" s="507"/>
      <c r="J184" s="504"/>
      <c r="K184" s="497"/>
      <c r="L184" s="497"/>
      <c r="M184" s="497"/>
      <c r="N184" s="497"/>
      <c r="O184" s="510"/>
      <c r="P184" s="497"/>
      <c r="Q184" s="386"/>
      <c r="R184" s="141"/>
      <c r="S184" s="173"/>
      <c r="T184" s="173"/>
      <c r="U184" s="173"/>
      <c r="V184" s="178" t="str">
        <f t="shared" si="59"/>
        <v/>
      </c>
      <c r="W184" s="173"/>
      <c r="X184" s="173"/>
      <c r="Y184" s="173"/>
      <c r="Z184" s="131" t="str">
        <f>IFERROR(IF(AND(S183="Probabilidad",S184="Probabilidad"),(Z183-(+Z183*V184)),IF(S184="Probabilidad",(L183-(+L183*V184)),IF(S184="Impacto",Z183,""))),"")</f>
        <v/>
      </c>
      <c r="AA184" s="219"/>
      <c r="AB184" s="219"/>
      <c r="AC184" s="497"/>
      <c r="AD184" s="182" t="str">
        <f>IFERROR(IF(AND(S183="Impacto",V184="Impacto"),(AD183-(+AD183*V184)),IF(S184="Impacto",(O183-(+O183*V184)),IF(S184="Probabilidad",AD183,""))),"")</f>
        <v/>
      </c>
      <c r="AE184" s="219"/>
      <c r="AF184" s="219"/>
      <c r="AG184" s="497"/>
      <c r="AH184" s="497"/>
      <c r="AI184" s="497"/>
      <c r="AJ184" s="183"/>
      <c r="AK184" s="383"/>
      <c r="AL184" s="384"/>
      <c r="AM184" s="383"/>
      <c r="AN184" s="383"/>
      <c r="AO184" s="183"/>
      <c r="AP184" s="497"/>
      <c r="AQ184" s="537"/>
      <c r="FM184" s="89"/>
      <c r="FQ184" s="87" t="s">
        <v>257</v>
      </c>
    </row>
    <row r="185" spans="1:181" s="78" customFormat="1" ht="13.5" customHeight="1" x14ac:dyDescent="0.2">
      <c r="A185" s="460"/>
      <c r="B185" s="126" t="s">
        <v>476</v>
      </c>
      <c r="C185" s="459"/>
      <c r="D185" s="458"/>
      <c r="E185" s="458"/>
      <c r="F185" s="525"/>
      <c r="G185" s="457"/>
      <c r="H185" s="201"/>
      <c r="I185" s="508"/>
      <c r="J185" s="505"/>
      <c r="K185" s="498"/>
      <c r="L185" s="498"/>
      <c r="M185" s="521"/>
      <c r="N185" s="498"/>
      <c r="O185" s="511"/>
      <c r="P185" s="498"/>
      <c r="Q185" s="386"/>
      <c r="R185" s="141"/>
      <c r="S185" s="173"/>
      <c r="T185" s="173"/>
      <c r="U185" s="173"/>
      <c r="V185" s="178" t="str">
        <f t="shared" si="59"/>
        <v/>
      </c>
      <c r="W185" s="173"/>
      <c r="X185" s="173"/>
      <c r="Y185" s="173"/>
      <c r="Z185" s="131" t="str">
        <f>IFERROR(IF(AND(S184="Probabilidad",S185="Probabilidad"),(Z184-(+Z184*V185)),IF(S185="Probabilidad",(L184-(+L184*V185)),IF(S185="Impacto",Z184,""))),"")</f>
        <v/>
      </c>
      <c r="AA185" s="220"/>
      <c r="AB185" s="220"/>
      <c r="AC185" s="498"/>
      <c r="AD185" s="182" t="str">
        <f>IFERROR(IF(AND(S184="Impacto",V185="Impacto"),(AD184-(+AD184*V185)),IF(S185="Impacto",(O184-(+O184*V185)),IF(S185="Probabilidad",AD184,""))),"")</f>
        <v/>
      </c>
      <c r="AE185" s="220"/>
      <c r="AF185" s="220"/>
      <c r="AG185" s="498"/>
      <c r="AH185" s="498"/>
      <c r="AI185" s="498"/>
      <c r="AJ185" s="183"/>
      <c r="AK185" s="383"/>
      <c r="AL185" s="384"/>
      <c r="AM185" s="383"/>
      <c r="AN185" s="383"/>
      <c r="AO185" s="183"/>
      <c r="AP185" s="498"/>
      <c r="AQ185" s="538"/>
      <c r="FM185" s="89"/>
      <c r="FQ185" s="87" t="s">
        <v>170</v>
      </c>
    </row>
    <row r="186" spans="1:181" s="78" customFormat="1" ht="13.5" customHeight="1" x14ac:dyDescent="0.25">
      <c r="A186" s="446">
        <v>34</v>
      </c>
      <c r="B186" s="126" t="s">
        <v>476</v>
      </c>
      <c r="C186" s="444" t="s">
        <v>248</v>
      </c>
      <c r="D186" s="440" t="s">
        <v>814</v>
      </c>
      <c r="E186" s="440" t="s">
        <v>461</v>
      </c>
      <c r="F186" s="523" t="s">
        <v>815</v>
      </c>
      <c r="G186" s="437" t="s">
        <v>149</v>
      </c>
      <c r="H186" s="199" t="s">
        <v>150</v>
      </c>
      <c r="I186" s="527" t="s">
        <v>151</v>
      </c>
      <c r="J186" s="526">
        <f>7*17</f>
        <v>119</v>
      </c>
      <c r="K186" s="496" t="str">
        <f>IF(AND(J186&lt;=2),"Muy Baja",IF(AND(J186&gt;=3,J186&lt;=23),"Baja",IF(AND(J186&gt;=24,J186&lt;=499),"Media",IF(AND(J186&gt;=500,J186&lt;=4999),"Alta",IF(AND(J186&gt;=5000),"Muy Alta",FALSE)))))</f>
        <v>Media</v>
      </c>
      <c r="L186" s="496" t="str">
        <f>IF(AND(J186&lt;=2),"20%",IF(AND(J186&gt;=3,J186&lt;=23),"40%",IF(AND(J186&gt;=24,J186&lt;=499),"60%",IF(AND(J186&gt;=500,J186&lt;=4999),"80%",IF(AND(J186&gt;=5000),"100%",FALSE)))))</f>
        <v>60%</v>
      </c>
      <c r="M186" s="520" t="s">
        <v>162</v>
      </c>
      <c r="N186" s="496" t="str">
        <f>IF(AND(M186=$FQ$4),"Leve",IF(AND(M186=$FQ$5),"Menor",IF(AND(M186=$FQ$6),"Moderado",IF(AND(M186=$FQ$7),"mayor",IF(AND(M186=$FQ$8),"Catastrófico",IF(AND(M186=$FQ$10),"Leve",IF(AND(M186=$FQ$11),"Menor",IF(AND(M186=$FQ$12),"Moderado",IF(AND(M186=$FQ$13),"Mayor",IF(AND(M186=$FQ$14),"Catastrófico",FALSE))))))))))</f>
        <v>Moderado</v>
      </c>
      <c r="O186" s="509" t="str">
        <f>IF(AND(N186="Leve"),"20%",IF(AND(N186="Menor"),"40%",IF(AND(N186="Moderado"),"60%",IF(AND(N186="Mayor"),"80%",IF(AND(N186="Catastrófico"),"100%","")))))</f>
        <v>60%</v>
      </c>
      <c r="P186" s="496" t="str">
        <f>INDEX('[5]MATRIZ RIESGO'!$D$6:$H$10,MATCH(K186,'[5]MATRIZ RIESGO'!$C$6:$C$10,),MATCH(N186,'[5]MATRIZ RIESGO'!$D$5:$H$5,))</f>
        <v>Moderado</v>
      </c>
      <c r="Q186" s="386">
        <v>1</v>
      </c>
      <c r="R186" s="142" t="s">
        <v>739</v>
      </c>
      <c r="S186" s="173" t="s">
        <v>242</v>
      </c>
      <c r="T186" s="173" t="s">
        <v>152</v>
      </c>
      <c r="U186" s="173" t="s">
        <v>153</v>
      </c>
      <c r="V186" s="178" t="str">
        <f t="shared" si="59"/>
        <v>40%</v>
      </c>
      <c r="W186" s="173" t="s">
        <v>154</v>
      </c>
      <c r="X186" s="173" t="s">
        <v>155</v>
      </c>
      <c r="Y186" s="173" t="s">
        <v>156</v>
      </c>
      <c r="Z186" s="131" t="str">
        <f>IFERROR(IF(S186="Probabilidad",(L186-(+L186*V186)),IF(S186="Impacto",L186,"")),"")</f>
        <v>60%</v>
      </c>
      <c r="AA186" s="218">
        <f>LOOKUP(2,1/(Z186:Z191&lt;&gt;""),Z186:Z191)</f>
        <v>0.44999999999999996</v>
      </c>
      <c r="AB186" s="218">
        <f t="shared" ref="AB186" si="61">AA186*1</f>
        <v>0.44999999999999996</v>
      </c>
      <c r="AC186" s="496" t="str">
        <f t="shared" ref="AC186" si="62">IF(AND(AB186&lt;=20%),"Muy Baja",IF(AND(AB186&gt;=21%,AB186&lt;=40%),"Baja",IF(AND(AB186&gt;=41%,AB186&lt;=60%),"Media",IF(AND(AB186&gt;=61%,AB186&lt;=80%),"Alta",IF(AND(AB186&gt;=81%,AB186&gt;=100%),"Muy Alta",FALSE)))))</f>
        <v>Media</v>
      </c>
      <c r="AD186" s="182">
        <f>IFERROR(IF(S186="Impacto",(O186-(+O186*V186)),IF(S186="Probabilidad",O186,"")),"")</f>
        <v>0.36</v>
      </c>
      <c r="AE186" s="218">
        <f>LOOKUP(2,1/(AD186:AD191&lt;&gt;""),AD186:AD191)</f>
        <v>0.36</v>
      </c>
      <c r="AF186" s="218">
        <f>AE186*1</f>
        <v>0.36</v>
      </c>
      <c r="AG186" s="496" t="str">
        <f t="shared" ref="AG186" si="63">CHOOSE((AF186&gt;=0%)+(AF186&gt;=21%)+(AF186&gt;=41%)+(AF186&gt;=61%)+(AF186&gt;=81%),"Leve","Menor","Moderado","Mayor","Catastrófico")</f>
        <v>Menor</v>
      </c>
      <c r="AH186" s="496" t="str">
        <f>INDEX('[5]MATRIZ RIESGO'!$D$6:$H$10,MATCH(AC186,'[5]MATRIZ RIESGO'!$C$6:$C$10,),MATCH(AG186,'[5]MATRIZ RIESGO'!$D$5:$H$5,))</f>
        <v>Moderado</v>
      </c>
      <c r="AI186" s="496" t="s">
        <v>111</v>
      </c>
      <c r="AJ186" s="183"/>
      <c r="AK186" s="383"/>
      <c r="AL186" s="384"/>
      <c r="AM186" s="383"/>
      <c r="AN186" s="383"/>
      <c r="AO186" s="183"/>
      <c r="AP186" s="496" t="s">
        <v>462</v>
      </c>
      <c r="AQ186" s="539" t="s">
        <v>113</v>
      </c>
      <c r="FM186" s="89"/>
      <c r="FQ186" s="80"/>
    </row>
    <row r="187" spans="1:181" s="78" customFormat="1" ht="13.5" customHeight="1" x14ac:dyDescent="0.25">
      <c r="A187" s="447"/>
      <c r="B187" s="126" t="s">
        <v>476</v>
      </c>
      <c r="C187" s="325"/>
      <c r="D187" s="441"/>
      <c r="E187" s="441"/>
      <c r="F187" s="524"/>
      <c r="G187" s="438"/>
      <c r="H187" s="200"/>
      <c r="I187" s="507"/>
      <c r="J187" s="504"/>
      <c r="K187" s="497"/>
      <c r="L187" s="497"/>
      <c r="M187" s="497"/>
      <c r="N187" s="497"/>
      <c r="O187" s="510"/>
      <c r="P187" s="497"/>
      <c r="Q187" s="386">
        <v>2</v>
      </c>
      <c r="R187" s="141" t="s">
        <v>463</v>
      </c>
      <c r="S187" s="173" t="s">
        <v>237</v>
      </c>
      <c r="T187" s="173" t="s">
        <v>174</v>
      </c>
      <c r="U187" s="173" t="s">
        <v>153</v>
      </c>
      <c r="V187" s="178" t="str">
        <f t="shared" si="59"/>
        <v>25%</v>
      </c>
      <c r="W187" s="173" t="s">
        <v>154</v>
      </c>
      <c r="X187" s="173" t="s">
        <v>155</v>
      </c>
      <c r="Y187" s="173" t="s">
        <v>156</v>
      </c>
      <c r="Z187" s="131">
        <f>IFERROR(IF(AND(S186="Probabilidad",S187="Probabilidad"),(Z186-(+Z186*V187)),IF(S187="Probabilidad",(L186-(+L186*V187)),IF(S187="Impacto",Z186,""))),"")</f>
        <v>0.44999999999999996</v>
      </c>
      <c r="AA187" s="219"/>
      <c r="AB187" s="219"/>
      <c r="AC187" s="497"/>
      <c r="AD187" s="182">
        <f>IFERROR(IF(AND(S186="Impacto",V187="Impacto"),(AD186-(+AD186*V187)),IF(S187="Impacto",(O186-(+O186*V187)),IF(S187="Probabilidad",AD186,""))),"")</f>
        <v>0.36</v>
      </c>
      <c r="AE187" s="219"/>
      <c r="AF187" s="219"/>
      <c r="AG187" s="497"/>
      <c r="AH187" s="497"/>
      <c r="AI187" s="497"/>
      <c r="AJ187" s="183"/>
      <c r="AK187" s="383"/>
      <c r="AL187" s="384"/>
      <c r="AM187" s="383"/>
      <c r="AN187" s="383"/>
      <c r="AO187" s="183"/>
      <c r="AP187" s="497"/>
      <c r="AQ187" s="537"/>
      <c r="FM187" s="89"/>
    </row>
    <row r="188" spans="1:181" s="78" customFormat="1" ht="13.5" customHeight="1" x14ac:dyDescent="0.25">
      <c r="A188" s="447"/>
      <c r="B188" s="126" t="s">
        <v>476</v>
      </c>
      <c r="C188" s="325"/>
      <c r="D188" s="441"/>
      <c r="E188" s="441"/>
      <c r="F188" s="524"/>
      <c r="G188" s="438"/>
      <c r="H188" s="200"/>
      <c r="I188" s="507"/>
      <c r="J188" s="504"/>
      <c r="K188" s="497"/>
      <c r="L188" s="497"/>
      <c r="M188" s="497"/>
      <c r="N188" s="497"/>
      <c r="O188" s="510"/>
      <c r="P188" s="497"/>
      <c r="Q188" s="386"/>
      <c r="R188" s="141"/>
      <c r="S188" s="173"/>
      <c r="T188" s="173"/>
      <c r="U188" s="173"/>
      <c r="V188" s="178" t="str">
        <f t="shared" si="59"/>
        <v/>
      </c>
      <c r="W188" s="173"/>
      <c r="X188" s="173"/>
      <c r="Y188" s="173"/>
      <c r="Z188" s="131" t="str">
        <f>IFERROR(IF(AND(S187="Probabilidad",S188="Probabilidad"),(Z187-(+Z187*V188)),IF(S188="Probabilidad",(L187-(+L187*V188)),IF(S188="Impacto",Z187,""))),"")</f>
        <v/>
      </c>
      <c r="AA188" s="219"/>
      <c r="AB188" s="219"/>
      <c r="AC188" s="497"/>
      <c r="AD188" s="182" t="str">
        <f t="shared" ref="AD188:AD191" si="64">IFERROR(IF(AND(S187="Impacto",V188="Impacto"),(AD187-(+AD187*V188)),IF(S188="Impacto",(O187-(+O187*V188)),IF(S188="Probabilidad",AD187,""))),"")</f>
        <v/>
      </c>
      <c r="AE188" s="219"/>
      <c r="AF188" s="219"/>
      <c r="AG188" s="497"/>
      <c r="AH188" s="497"/>
      <c r="AI188" s="497"/>
      <c r="AJ188" s="183"/>
      <c r="AK188" s="383"/>
      <c r="AL188" s="384"/>
      <c r="AM188" s="383"/>
      <c r="AN188" s="383"/>
      <c r="AO188" s="183"/>
      <c r="AP188" s="497"/>
      <c r="AQ188" s="537"/>
      <c r="FM188" s="89"/>
    </row>
    <row r="189" spans="1:181" s="78" customFormat="1" ht="13.5" customHeight="1" x14ac:dyDescent="0.25">
      <c r="A189" s="447"/>
      <c r="B189" s="126" t="s">
        <v>476</v>
      </c>
      <c r="C189" s="325"/>
      <c r="D189" s="441"/>
      <c r="E189" s="441"/>
      <c r="F189" s="524"/>
      <c r="G189" s="438"/>
      <c r="H189" s="200"/>
      <c r="I189" s="507"/>
      <c r="J189" s="504"/>
      <c r="K189" s="497"/>
      <c r="L189" s="497"/>
      <c r="M189" s="497"/>
      <c r="N189" s="497"/>
      <c r="O189" s="510"/>
      <c r="P189" s="497"/>
      <c r="Q189" s="386"/>
      <c r="R189" s="141"/>
      <c r="S189" s="173"/>
      <c r="T189" s="173"/>
      <c r="U189" s="173"/>
      <c r="V189" s="178" t="str">
        <f t="shared" si="59"/>
        <v/>
      </c>
      <c r="W189" s="173"/>
      <c r="X189" s="173"/>
      <c r="Y189" s="173"/>
      <c r="Z189" s="131" t="str">
        <f>IFERROR(IF(AND(S188="Probabilidad",S189="Probabilidad"),(Z188-(+Z188*V189)),IF(S189="Probabilidad",(L188-(+L188*V189)),IF(S189="Impacto",Z188,""))),"")</f>
        <v/>
      </c>
      <c r="AA189" s="219"/>
      <c r="AB189" s="219"/>
      <c r="AC189" s="497"/>
      <c r="AD189" s="182" t="str">
        <f t="shared" si="64"/>
        <v/>
      </c>
      <c r="AE189" s="219"/>
      <c r="AF189" s="219"/>
      <c r="AG189" s="497"/>
      <c r="AH189" s="497"/>
      <c r="AI189" s="497"/>
      <c r="AJ189" s="183"/>
      <c r="AK189" s="383"/>
      <c r="AL189" s="384"/>
      <c r="AM189" s="383"/>
      <c r="AN189" s="383"/>
      <c r="AO189" s="183"/>
      <c r="AP189" s="497"/>
      <c r="AQ189" s="537"/>
      <c r="FM189" s="89"/>
    </row>
    <row r="190" spans="1:181" s="78" customFormat="1" ht="13.5" customHeight="1" x14ac:dyDescent="0.25">
      <c r="A190" s="447"/>
      <c r="B190" s="126" t="s">
        <v>476</v>
      </c>
      <c r="C190" s="325"/>
      <c r="D190" s="441"/>
      <c r="E190" s="441"/>
      <c r="F190" s="524"/>
      <c r="G190" s="438"/>
      <c r="H190" s="200"/>
      <c r="I190" s="507"/>
      <c r="J190" s="504"/>
      <c r="K190" s="497"/>
      <c r="L190" s="497"/>
      <c r="M190" s="497"/>
      <c r="N190" s="497"/>
      <c r="O190" s="510"/>
      <c r="P190" s="497"/>
      <c r="Q190" s="386"/>
      <c r="R190" s="141"/>
      <c r="S190" s="173"/>
      <c r="T190" s="173"/>
      <c r="U190" s="173"/>
      <c r="V190" s="178" t="str">
        <f t="shared" si="59"/>
        <v/>
      </c>
      <c r="W190" s="173"/>
      <c r="X190" s="173"/>
      <c r="Y190" s="173"/>
      <c r="Z190" s="131" t="str">
        <f>IFERROR(IF(AND(S189="Probabilidad",S190="Probabilidad"),(Z189-(+Z189*V190)),IF(S190="Probabilidad",(L189-(+L189*V190)),IF(S190="Impacto",Z189,""))),"")</f>
        <v/>
      </c>
      <c r="AA190" s="219"/>
      <c r="AB190" s="219"/>
      <c r="AC190" s="497"/>
      <c r="AD190" s="182" t="str">
        <f t="shared" si="64"/>
        <v/>
      </c>
      <c r="AE190" s="219"/>
      <c r="AF190" s="219"/>
      <c r="AG190" s="497"/>
      <c r="AH190" s="497"/>
      <c r="AI190" s="497"/>
      <c r="AJ190" s="183"/>
      <c r="AK190" s="383"/>
      <c r="AL190" s="384"/>
      <c r="AM190" s="383"/>
      <c r="AN190" s="383"/>
      <c r="AO190" s="183"/>
      <c r="AP190" s="497"/>
      <c r="AQ190" s="537"/>
      <c r="FM190" s="89"/>
    </row>
    <row r="191" spans="1:181" s="78" customFormat="1" ht="13.5" customHeight="1" x14ac:dyDescent="0.25">
      <c r="A191" s="460"/>
      <c r="B191" s="126" t="s">
        <v>476</v>
      </c>
      <c r="C191" s="459"/>
      <c r="D191" s="458"/>
      <c r="E191" s="458"/>
      <c r="F191" s="525"/>
      <c r="G191" s="457"/>
      <c r="H191" s="201"/>
      <c r="I191" s="508"/>
      <c r="J191" s="505"/>
      <c r="K191" s="498"/>
      <c r="L191" s="498"/>
      <c r="M191" s="521"/>
      <c r="N191" s="498"/>
      <c r="O191" s="511"/>
      <c r="P191" s="498"/>
      <c r="Q191" s="386"/>
      <c r="R191" s="141"/>
      <c r="S191" s="173"/>
      <c r="T191" s="173"/>
      <c r="U191" s="173"/>
      <c r="V191" s="178" t="str">
        <f t="shared" si="59"/>
        <v/>
      </c>
      <c r="W191" s="173"/>
      <c r="X191" s="173"/>
      <c r="Y191" s="173"/>
      <c r="Z191" s="131" t="str">
        <f>IFERROR(IF(AND(S190="Probabilidad",S191="Probabilidad"),(Z190-(+Z190*V191)),IF(S191="Probabilidad",(L190-(+L190*V191)),IF(S191="Impacto",Z190,""))),"")</f>
        <v/>
      </c>
      <c r="AA191" s="220"/>
      <c r="AB191" s="220"/>
      <c r="AC191" s="498"/>
      <c r="AD191" s="182" t="str">
        <f t="shared" si="64"/>
        <v/>
      </c>
      <c r="AE191" s="220"/>
      <c r="AF191" s="220"/>
      <c r="AG191" s="498"/>
      <c r="AH191" s="498"/>
      <c r="AI191" s="498"/>
      <c r="AJ191" s="183"/>
      <c r="AK191" s="383"/>
      <c r="AL191" s="384"/>
      <c r="AM191" s="383"/>
      <c r="AN191" s="383"/>
      <c r="AO191" s="183"/>
      <c r="AP191" s="498"/>
      <c r="AQ191" s="538"/>
      <c r="FM191" s="89"/>
      <c r="FQ191" s="79"/>
    </row>
    <row r="192" spans="1:181" s="78" customFormat="1" ht="13.5" customHeight="1" x14ac:dyDescent="0.25">
      <c r="A192" s="446">
        <v>35</v>
      </c>
      <c r="B192" s="126" t="s">
        <v>476</v>
      </c>
      <c r="C192" s="444" t="s">
        <v>248</v>
      </c>
      <c r="D192" s="440" t="s">
        <v>816</v>
      </c>
      <c r="E192" s="440" t="s">
        <v>817</v>
      </c>
      <c r="F192" s="523" t="s">
        <v>818</v>
      </c>
      <c r="G192" s="437" t="s">
        <v>149</v>
      </c>
      <c r="H192" s="199" t="s">
        <v>270</v>
      </c>
      <c r="I192" s="527" t="s">
        <v>151</v>
      </c>
      <c r="J192" s="526">
        <v>17</v>
      </c>
      <c r="K192" s="496" t="str">
        <f>IF(AND(J192&lt;=2),"Muy Baja",IF(AND(J192&gt;=3,J192&lt;=23),"Baja",IF(AND(J192&gt;=24,J192&lt;=499),"Media",IF(AND(J192&gt;=500,J192&lt;=4999),"Alta",IF(AND(J192&gt;=5000),"Muy Alta",FALSE)))))</f>
        <v>Baja</v>
      </c>
      <c r="L192" s="496" t="str">
        <f>IF(AND(J192&lt;=2),"20%",IF(AND(J192&gt;=3,J192&lt;=23),"40%",IF(AND(J192&gt;=24,J192&lt;=499),"60%",IF(AND(J192&gt;=500,J192&lt;=4999),"80%",IF(AND(J192&gt;=5000),"100%",FALSE)))))</f>
        <v>40%</v>
      </c>
      <c r="M192" s="520" t="s">
        <v>257</v>
      </c>
      <c r="N192" s="496" t="str">
        <f>IF(AND(M192=$FQ$4),"Leve",IF(AND(M192=$FQ$5),"Menor",IF(AND(M192=$FQ$6),"Moderado",IF(AND(M192=$FQ$7),"mayor",IF(AND(M192=$FQ$8),"Catastrófico",IF(AND(M192=$FQ$10),"Leve",IF(AND(M192=$FQ$11),"Menor",IF(AND(M192=$FQ$12),"Moderado",IF(AND(M192=$FQ$13),"Mayor",IF(AND(M192=$FQ$14),"Catastrófico",FALSE))))))))))</f>
        <v>Mayor</v>
      </c>
      <c r="O192" s="509" t="str">
        <f>IF(AND(N192="Leve"),"20%",IF(AND(N192="Menor"),"40%",IF(AND(N192="Moderado"),"60%",IF(AND(N192="Mayor"),"80%",IF(AND(N192="Catastrófico"),"100%","")))))</f>
        <v>80%</v>
      </c>
      <c r="P192" s="496" t="str">
        <f>INDEX('[5]MATRIZ RIESGO'!$D$6:$H$10,MATCH(K192,'[5]MATRIZ RIESGO'!$C$6:$C$10,),MATCH(N192,'[5]MATRIZ RIESGO'!$D$5:$H$5,))</f>
        <v>Alto</v>
      </c>
      <c r="Q192" s="386">
        <v>1</v>
      </c>
      <c r="R192" s="142" t="s">
        <v>740</v>
      </c>
      <c r="S192" s="173" t="s">
        <v>237</v>
      </c>
      <c r="T192" s="173" t="s">
        <v>152</v>
      </c>
      <c r="U192" s="173" t="s">
        <v>153</v>
      </c>
      <c r="V192" s="178" t="str">
        <f>IF(AND(T192=$FS$2,U192=$FT$2),"50%",IF(AND(T192=$FS$2,U192=$FT$3),"40%",IF(AND(T192=$FS$3,U192=$FT$2),"40%",IF(AND(T192=$FS$3,U192=$FT$3),"30%",IF(AND(T192=$FS$4,U192=$FT$2),"35%",IF(AND(T192=$FS$4,U192=$FT$3),"25%",""))))))</f>
        <v>40%</v>
      </c>
      <c r="W192" s="173" t="s">
        <v>154</v>
      </c>
      <c r="X192" s="173" t="s">
        <v>155</v>
      </c>
      <c r="Y192" s="173" t="s">
        <v>156</v>
      </c>
      <c r="Z192" s="131">
        <f>IFERROR(IF(S192="Probabilidad",(L192-(+L192*V192)),IF(S192="Impacto",L192,"")),"")</f>
        <v>0.24</v>
      </c>
      <c r="AA192" s="218">
        <f>LOOKUP(2,1/(Z192:Z197&lt;&gt;""),Z192:Z197)</f>
        <v>0.14399999999999999</v>
      </c>
      <c r="AB192" s="218">
        <f t="shared" ref="AB192" si="65">AA192*1</f>
        <v>0.14399999999999999</v>
      </c>
      <c r="AC192" s="496" t="str">
        <f t="shared" ref="AC192" si="66">IF(AND(AB192&lt;=20%),"Muy Baja",IF(AND(AB192&gt;=21%,AB192&lt;=40%),"Baja",IF(AND(AB192&gt;=41%,AB192&lt;=60%),"Media",IF(AND(AB192&gt;=61%,AB192&lt;=80%),"Alta",IF(AND(AB192&gt;=81%,AB192&gt;=100%),"Muy Alta",FALSE)))))</f>
        <v>Muy Baja</v>
      </c>
      <c r="AD192" s="182" t="str">
        <f>IFERROR(IF(S192="Impacto",(O192-(+O192*V192)),IF(S192="Probabilidad",O192,"")),"")</f>
        <v>80%</v>
      </c>
      <c r="AE192" s="218" t="str">
        <f>LOOKUP(2,1/(AD192:AD197&lt;&gt;""),AD192:AD197)</f>
        <v>80%</v>
      </c>
      <c r="AF192" s="218">
        <f>AE192*1</f>
        <v>0.8</v>
      </c>
      <c r="AG192" s="496" t="str">
        <f t="shared" ref="AG192" si="67">CHOOSE((AF192&gt;=0%)+(AF192&gt;=21%)+(AF192&gt;=41%)+(AF192&gt;=61%)+(AF192&gt;=81%),"Leve","Menor","Moderado","Mayor","Catastrófico")</f>
        <v>Mayor</v>
      </c>
      <c r="AH192" s="496" t="str">
        <f>INDEX('[5]MATRIZ RIESGO'!$D$6:$H$10,MATCH(AC192,'[5]MATRIZ RIESGO'!$C$6:$C$10,),MATCH(AG192,'[5]MATRIZ RIESGO'!$D$5:$H$5,))</f>
        <v>Alto</v>
      </c>
      <c r="AI192" s="496" t="s">
        <v>77</v>
      </c>
      <c r="AJ192" s="188"/>
      <c r="AK192" s="188"/>
      <c r="AL192" s="384"/>
      <c r="AM192" s="383"/>
      <c r="AN192" s="383"/>
      <c r="AO192" s="183"/>
      <c r="AP192" s="496" t="s">
        <v>464</v>
      </c>
      <c r="AQ192" s="539" t="s">
        <v>113</v>
      </c>
      <c r="FM192" s="89"/>
      <c r="FQ192" s="80"/>
    </row>
    <row r="193" spans="1:181" s="78" customFormat="1" ht="13.5" customHeight="1" x14ac:dyDescent="0.25">
      <c r="A193" s="447"/>
      <c r="B193" s="126" t="s">
        <v>476</v>
      </c>
      <c r="C193" s="325"/>
      <c r="D193" s="441"/>
      <c r="E193" s="441"/>
      <c r="F193" s="524"/>
      <c r="G193" s="438"/>
      <c r="H193" s="200"/>
      <c r="I193" s="507"/>
      <c r="J193" s="504"/>
      <c r="K193" s="497"/>
      <c r="L193" s="497"/>
      <c r="M193" s="497"/>
      <c r="N193" s="497"/>
      <c r="O193" s="510"/>
      <c r="P193" s="497"/>
      <c r="Q193" s="386">
        <v>2</v>
      </c>
      <c r="R193" s="141" t="s">
        <v>465</v>
      </c>
      <c r="S193" s="173" t="s">
        <v>237</v>
      </c>
      <c r="T193" s="173" t="s">
        <v>152</v>
      </c>
      <c r="U193" s="173" t="s">
        <v>153</v>
      </c>
      <c r="V193" s="178" t="str">
        <f t="shared" ref="V193:V197" si="68">IF(AND(T193=$FS$2,U193=$FT$2),"50%",IF(AND(T193=$FS$2,U193=$FT$3),"40%",IF(AND(T193=$FS$3,U193=$FT$2),"40%",IF(AND(T193=$FS$3,U193=$FT$3),"30%",IF(AND(T193=$FS$4,U193=$FT$2),"35%",IF(AND(T193=$FS$4,U193=$FT$3),"25%",""))))))</f>
        <v>40%</v>
      </c>
      <c r="W193" s="173" t="s">
        <v>154</v>
      </c>
      <c r="X193" s="173" t="s">
        <v>155</v>
      </c>
      <c r="Y193" s="173" t="s">
        <v>156</v>
      </c>
      <c r="Z193" s="131">
        <f>IFERROR(IF(AND(S192="Probabilidad",S193="Probabilidad"),(Z192-(+Z192*V193)),IF(S193="Probabilidad",(L192-(+L192*V193)),IF(S193="Impacto",Z192,""))),"")</f>
        <v>0.14399999999999999</v>
      </c>
      <c r="AA193" s="219"/>
      <c r="AB193" s="219"/>
      <c r="AC193" s="497"/>
      <c r="AD193" s="182" t="str">
        <f>IFERROR(IF(AND(S192="Impacto",V193="Impacto"),(AD192-(+AD192*V193)),IF(S193="Impacto",(O192-(+O192*V193)),IF(S193="Probabilidad",AD192,""))),"")</f>
        <v>80%</v>
      </c>
      <c r="AE193" s="219"/>
      <c r="AF193" s="219"/>
      <c r="AG193" s="497"/>
      <c r="AH193" s="497"/>
      <c r="AI193" s="497"/>
      <c r="AJ193" s="183"/>
      <c r="AK193" s="383"/>
      <c r="AL193" s="384"/>
      <c r="AM193" s="383"/>
      <c r="AN193" s="383"/>
      <c r="AO193" s="183"/>
      <c r="AP193" s="497"/>
      <c r="AQ193" s="537"/>
      <c r="FM193" s="89"/>
    </row>
    <row r="194" spans="1:181" s="78" customFormat="1" ht="13.5" customHeight="1" x14ac:dyDescent="0.25">
      <c r="A194" s="447"/>
      <c r="B194" s="126" t="s">
        <v>476</v>
      </c>
      <c r="C194" s="325"/>
      <c r="D194" s="441"/>
      <c r="E194" s="441"/>
      <c r="F194" s="524"/>
      <c r="G194" s="438"/>
      <c r="H194" s="200"/>
      <c r="I194" s="507"/>
      <c r="J194" s="504"/>
      <c r="K194" s="497"/>
      <c r="L194" s="497"/>
      <c r="M194" s="497"/>
      <c r="N194" s="497"/>
      <c r="O194" s="510"/>
      <c r="P194" s="497"/>
      <c r="Q194" s="386"/>
      <c r="R194" s="141"/>
      <c r="S194" s="173"/>
      <c r="T194" s="173"/>
      <c r="U194" s="173"/>
      <c r="V194" s="178" t="str">
        <f t="shared" si="68"/>
        <v/>
      </c>
      <c r="W194" s="173"/>
      <c r="X194" s="173"/>
      <c r="Y194" s="173"/>
      <c r="Z194" s="131" t="str">
        <f>IFERROR(IF(AND(S193="Probabilidad",S194="Probabilidad"),(Z193-(+Z193*V194)),IF(S194="Probabilidad",(L193-(+L193*V194)),IF(S194="Impacto",Z193,""))),"")</f>
        <v/>
      </c>
      <c r="AA194" s="219"/>
      <c r="AB194" s="219"/>
      <c r="AC194" s="497"/>
      <c r="AD194" s="182" t="str">
        <f t="shared" ref="AD194:AD197" si="69">IFERROR(IF(AND(S193="Impacto",V194="Impacto"),(AD193-(+AD193*V194)),IF(S194="Impacto",(O193-(+O193*V194)),IF(S194="Probabilidad",AD193,""))),"")</f>
        <v/>
      </c>
      <c r="AE194" s="219"/>
      <c r="AF194" s="219"/>
      <c r="AG194" s="497"/>
      <c r="AH194" s="497"/>
      <c r="AI194" s="497"/>
      <c r="AJ194" s="183"/>
      <c r="AK194" s="383"/>
      <c r="AL194" s="384"/>
      <c r="AM194" s="383"/>
      <c r="AN194" s="383"/>
      <c r="AO194" s="183"/>
      <c r="AP194" s="497"/>
      <c r="AQ194" s="537"/>
      <c r="FM194" s="89"/>
    </row>
    <row r="195" spans="1:181" s="78" customFormat="1" ht="13.5" customHeight="1" x14ac:dyDescent="0.25">
      <c r="A195" s="447"/>
      <c r="B195" s="126" t="s">
        <v>476</v>
      </c>
      <c r="C195" s="325"/>
      <c r="D195" s="441"/>
      <c r="E195" s="441"/>
      <c r="F195" s="524"/>
      <c r="G195" s="438"/>
      <c r="H195" s="200"/>
      <c r="I195" s="507"/>
      <c r="J195" s="504"/>
      <c r="K195" s="497"/>
      <c r="L195" s="497"/>
      <c r="M195" s="497"/>
      <c r="N195" s="497"/>
      <c r="O195" s="510"/>
      <c r="P195" s="497"/>
      <c r="Q195" s="386"/>
      <c r="R195" s="141"/>
      <c r="S195" s="173"/>
      <c r="T195" s="173"/>
      <c r="U195" s="173"/>
      <c r="V195" s="178" t="str">
        <f t="shared" si="68"/>
        <v/>
      </c>
      <c r="W195" s="173"/>
      <c r="X195" s="173"/>
      <c r="Y195" s="173"/>
      <c r="Z195" s="131" t="str">
        <f>IFERROR(IF(AND(S194="Probabilidad",S195="Probabilidad"),(Z194-(+Z194*V195)),IF(S195="Probabilidad",(L194-(+L194*V195)),IF(S195="Impacto",Z194,""))),"")</f>
        <v/>
      </c>
      <c r="AA195" s="219"/>
      <c r="AB195" s="219"/>
      <c r="AC195" s="497"/>
      <c r="AD195" s="182" t="str">
        <f t="shared" si="69"/>
        <v/>
      </c>
      <c r="AE195" s="219"/>
      <c r="AF195" s="219"/>
      <c r="AG195" s="497"/>
      <c r="AH195" s="497"/>
      <c r="AI195" s="497"/>
      <c r="AJ195" s="183"/>
      <c r="AK195" s="383"/>
      <c r="AL195" s="384"/>
      <c r="AM195" s="383"/>
      <c r="AN195" s="383"/>
      <c r="AO195" s="183"/>
      <c r="AP195" s="497"/>
      <c r="AQ195" s="537"/>
      <c r="FM195" s="89"/>
    </row>
    <row r="196" spans="1:181" s="78" customFormat="1" ht="13.5" customHeight="1" x14ac:dyDescent="0.25">
      <c r="A196" s="447"/>
      <c r="B196" s="126" t="s">
        <v>476</v>
      </c>
      <c r="C196" s="325"/>
      <c r="D196" s="441"/>
      <c r="E196" s="441"/>
      <c r="F196" s="524"/>
      <c r="G196" s="438"/>
      <c r="H196" s="200"/>
      <c r="I196" s="507"/>
      <c r="J196" s="504"/>
      <c r="K196" s="497"/>
      <c r="L196" s="497"/>
      <c r="M196" s="497"/>
      <c r="N196" s="497"/>
      <c r="O196" s="510"/>
      <c r="P196" s="497"/>
      <c r="Q196" s="386"/>
      <c r="R196" s="141"/>
      <c r="S196" s="173"/>
      <c r="T196" s="173"/>
      <c r="U196" s="173"/>
      <c r="V196" s="178" t="str">
        <f t="shared" si="68"/>
        <v/>
      </c>
      <c r="W196" s="173"/>
      <c r="X196" s="173"/>
      <c r="Y196" s="173"/>
      <c r="Z196" s="131" t="str">
        <f>IFERROR(IF(AND(S195="Probabilidad",S196="Probabilidad"),(Z195-(+Z195*V196)),IF(S196="Probabilidad",(L195-(+L195*V196)),IF(S196="Impacto",Z195,""))),"")</f>
        <v/>
      </c>
      <c r="AA196" s="219"/>
      <c r="AB196" s="219"/>
      <c r="AC196" s="497"/>
      <c r="AD196" s="182" t="str">
        <f t="shared" si="69"/>
        <v/>
      </c>
      <c r="AE196" s="219"/>
      <c r="AF196" s="219"/>
      <c r="AG196" s="497"/>
      <c r="AH196" s="497"/>
      <c r="AI196" s="497"/>
      <c r="AJ196" s="183"/>
      <c r="AK196" s="383"/>
      <c r="AL196" s="384"/>
      <c r="AM196" s="383"/>
      <c r="AN196" s="383"/>
      <c r="AO196" s="183"/>
      <c r="AP196" s="497"/>
      <c r="AQ196" s="537"/>
      <c r="FM196" s="89"/>
    </row>
    <row r="197" spans="1:181" s="78" customFormat="1" ht="13.5" customHeight="1" x14ac:dyDescent="0.25">
      <c r="A197" s="460"/>
      <c r="B197" s="126" t="s">
        <v>476</v>
      </c>
      <c r="C197" s="459"/>
      <c r="D197" s="458"/>
      <c r="E197" s="458"/>
      <c r="F197" s="525"/>
      <c r="G197" s="457"/>
      <c r="H197" s="201"/>
      <c r="I197" s="508"/>
      <c r="J197" s="505"/>
      <c r="K197" s="498"/>
      <c r="L197" s="498"/>
      <c r="M197" s="521"/>
      <c r="N197" s="498"/>
      <c r="O197" s="511"/>
      <c r="P197" s="498"/>
      <c r="Q197" s="386"/>
      <c r="R197" s="141"/>
      <c r="S197" s="173"/>
      <c r="T197" s="173"/>
      <c r="U197" s="173"/>
      <c r="V197" s="178" t="str">
        <f t="shared" si="68"/>
        <v/>
      </c>
      <c r="W197" s="173"/>
      <c r="X197" s="173"/>
      <c r="Y197" s="173"/>
      <c r="Z197" s="131" t="str">
        <f>IFERROR(IF(AND(S196="Probabilidad",S197="Probabilidad"),(Z196-(+Z196*V197)),IF(S197="Probabilidad",(L196-(+L196*V197)),IF(S197="Impacto",Z196,""))),"")</f>
        <v/>
      </c>
      <c r="AA197" s="220"/>
      <c r="AB197" s="220"/>
      <c r="AC197" s="498"/>
      <c r="AD197" s="182" t="str">
        <f t="shared" si="69"/>
        <v/>
      </c>
      <c r="AE197" s="220"/>
      <c r="AF197" s="220"/>
      <c r="AG197" s="498"/>
      <c r="AH197" s="498"/>
      <c r="AI197" s="498"/>
      <c r="AJ197" s="183"/>
      <c r="AK197" s="383"/>
      <c r="AL197" s="384"/>
      <c r="AM197" s="383"/>
      <c r="AN197" s="383"/>
      <c r="AO197" s="183"/>
      <c r="AP197" s="498"/>
      <c r="AQ197" s="538"/>
      <c r="FM197" s="89"/>
      <c r="FQ197" s="79"/>
    </row>
    <row r="198" spans="1:181" s="78" customFormat="1" ht="14.25" customHeight="1" x14ac:dyDescent="0.25">
      <c r="A198" s="446">
        <v>36</v>
      </c>
      <c r="B198" s="126" t="s">
        <v>476</v>
      </c>
      <c r="C198" s="444" t="s">
        <v>248</v>
      </c>
      <c r="D198" s="440" t="s">
        <v>466</v>
      </c>
      <c r="E198" s="440" t="s">
        <v>467</v>
      </c>
      <c r="F198" s="523" t="s">
        <v>468</v>
      </c>
      <c r="G198" s="437" t="s">
        <v>167</v>
      </c>
      <c r="H198" s="199" t="s">
        <v>255</v>
      </c>
      <c r="I198" s="517" t="s">
        <v>469</v>
      </c>
      <c r="J198" s="514">
        <v>119</v>
      </c>
      <c r="K198" s="496" t="str">
        <f>IF(AND(J198&lt;=2),"Muy Baja",IF(AND(J198&gt;=3,J198&lt;=23),"Baja",IF(AND(J198&gt;=24,J198&lt;=499),"Media",IF(AND(J198&gt;=500,J198&lt;=4999),"Alta",IF(AND(J198&gt;=5000),"Muy Alta",FALSE)))))</f>
        <v>Media</v>
      </c>
      <c r="L198" s="496" t="str">
        <f>IF(AND(J198&lt;=2),"20%",IF(AND(J198&gt;=3,J198&lt;=23),"40%",IF(AND(J198&gt;=24,J198&lt;=499),"60%",IF(AND(J198&gt;=500,J198&lt;=4999),"80%",IF(AND(J198&gt;=5000),"100%",FALSE)))))</f>
        <v>60%</v>
      </c>
      <c r="M198" s="520" t="s">
        <v>162</v>
      </c>
      <c r="N198" s="496" t="str">
        <f>IF(AND(M198=$FQ$4),"Leve",IF(AND(M198=$FQ$5),"Menor",IF(AND(M198=$FQ$6),"Moderado",IF(AND(M198=$FQ$7),"mayor",IF(AND(M198=$FQ$8),"Catastrófico",IF(AND(M198=$FQ$10),"Leve",IF(AND(M198=$FQ$11),"Menor",IF(AND(M198=$FQ$12),"Moderado",IF(AND(M198=$FQ$13),"Mayor",IF(AND(M198=$FQ$14),"Catastrófico",FALSE))))))))))</f>
        <v>Moderado</v>
      </c>
      <c r="O198" s="509" t="str">
        <f>IF(AND(N198="Leve"),"20%",IF(AND(N198="Menor"),"40%",IF(AND(N198="Moderado"),"60%",IF(AND(N198="Mayor"),"80%",IF(AND(N198="Catastrófico"),"100%","")))))</f>
        <v>60%</v>
      </c>
      <c r="P198" s="496" t="str">
        <f>INDEX('[5]MATRIZ RIESGO'!$D$6:$H$10,MATCH(K198,'[5]MATRIZ RIESGO'!$C$6:$C$10,),MATCH(N198,'[5]MATRIZ RIESGO'!$D$5:$H$5,))</f>
        <v>Moderado</v>
      </c>
      <c r="Q198" s="139">
        <v>1</v>
      </c>
      <c r="R198" s="142" t="s">
        <v>470</v>
      </c>
      <c r="S198" s="173" t="s">
        <v>237</v>
      </c>
      <c r="T198" s="173" t="s">
        <v>152</v>
      </c>
      <c r="U198" s="173" t="s">
        <v>153</v>
      </c>
      <c r="V198" s="178" t="str">
        <f>IF(AND(T198=$FS$2,U198=$FT$2),"50%",IF(AND(T198=$FS$2,U198=$FT$3),"40%",IF(AND(T198=$FS$3,U198=$FT$2),"40%",IF(AND(T198=$FS$3,U198=$FT$3),"30%",IF(AND(T198=$FS$4,U198=$FT$2),"35%",IF(AND(T198=$FS$4,U198=$FT$3),"25%",""))))))</f>
        <v>40%</v>
      </c>
      <c r="W198" s="173" t="s">
        <v>154</v>
      </c>
      <c r="X198" s="173" t="s">
        <v>155</v>
      </c>
      <c r="Y198" s="173" t="s">
        <v>156</v>
      </c>
      <c r="Z198" s="131">
        <f>IFERROR(IF(S198="Probabilidad",(L198-(+L198*V198)),IF(S198="Impacto",L198,"")),"")</f>
        <v>0.36</v>
      </c>
      <c r="AA198" s="218">
        <f>LOOKUP(2,1/(Z198:Z203&lt;&gt;""),Z198:Z203)</f>
        <v>0.36</v>
      </c>
      <c r="AB198" s="218">
        <f t="shared" ref="AB198" si="70">AA198*1</f>
        <v>0.36</v>
      </c>
      <c r="AC198" s="496" t="str">
        <f t="shared" ref="AC198" si="71">IF(AND(AB198&lt;=20%),"Muy Baja",IF(AND(AB198&gt;=21%,AB198&lt;=40%),"Baja",IF(AND(AB198&gt;=41%,AB198&lt;=60%),"Media",IF(AND(AB198&gt;=61%,AB198&lt;=80%),"Alta",IF(AND(AB198&gt;=81%,AB198&gt;=100%),"Muy Alta",FALSE)))))</f>
        <v>Baja</v>
      </c>
      <c r="AD198" s="182" t="str">
        <f>IFERROR(IF(S198="Impacto",(O198-(+O198*V198)),IF(S198="Probabilidad",O198,"")),"")</f>
        <v>60%</v>
      </c>
      <c r="AE198" s="218" t="str">
        <f>LOOKUP(2,1/(AD198:AD203&lt;&gt;""),AD198:AD203)</f>
        <v>60%</v>
      </c>
      <c r="AF198" s="218">
        <f>AE198*1</f>
        <v>0.6</v>
      </c>
      <c r="AG198" s="496" t="str">
        <f t="shared" ref="AG198" si="72">CHOOSE((AF198&gt;=0%)+(AF198&gt;=21%)+(AF198&gt;=41%)+(AF198&gt;=61%)+(AF198&gt;=81%),"Leve","Menor","Moderado","Mayor","Catastrófico")</f>
        <v>Moderado</v>
      </c>
      <c r="AH198" s="496" t="str">
        <f>INDEX('[5]MATRIZ RIESGO'!$D$6:$H$10,MATCH(AC198,'[5]MATRIZ RIESGO'!$C$6:$C$10,),MATCH(AG198,'[5]MATRIZ RIESGO'!$D$5:$H$5,))</f>
        <v>Moderado</v>
      </c>
      <c r="AI198" s="496" t="s">
        <v>111</v>
      </c>
      <c r="AJ198" s="173"/>
      <c r="AK198" s="179"/>
      <c r="AL198" s="154"/>
      <c r="AM198" s="179"/>
      <c r="AN198" s="179"/>
      <c r="AO198" s="173"/>
      <c r="AP198" s="496" t="s">
        <v>471</v>
      </c>
      <c r="AQ198" s="539" t="s">
        <v>113</v>
      </c>
      <c r="FM198" s="89"/>
      <c r="FQ198" s="80"/>
    </row>
    <row r="199" spans="1:181" s="78" customFormat="1" ht="14.25" customHeight="1" x14ac:dyDescent="0.25">
      <c r="A199" s="447"/>
      <c r="B199" s="126" t="s">
        <v>476</v>
      </c>
      <c r="C199" s="325"/>
      <c r="D199" s="441"/>
      <c r="E199" s="441"/>
      <c r="F199" s="524"/>
      <c r="G199" s="438"/>
      <c r="H199" s="200"/>
      <c r="I199" s="518"/>
      <c r="J199" s="515"/>
      <c r="K199" s="497"/>
      <c r="L199" s="497"/>
      <c r="M199" s="497"/>
      <c r="N199" s="497"/>
      <c r="O199" s="510"/>
      <c r="P199" s="497"/>
      <c r="Q199" s="139"/>
      <c r="R199" s="141"/>
      <c r="S199" s="173"/>
      <c r="T199" s="173"/>
      <c r="U199" s="173"/>
      <c r="V199" s="178" t="str">
        <f t="shared" ref="V199:V203" si="73">IF(AND(T199=$FS$2,U199=$FT$2),"50%",IF(AND(T199=$FS$2,U199=$FT$3),"40%",IF(AND(T199=$FS$3,U199=$FT$2),"40%",IF(AND(T199=$FS$3,U199=$FT$3),"30%",IF(AND(T199=$FS$4,U199=$FT$2),"35%",IF(AND(T199=$FS$4,U199=$FT$3),"25%",""))))))</f>
        <v/>
      </c>
      <c r="W199" s="173"/>
      <c r="X199" s="173"/>
      <c r="Y199" s="173"/>
      <c r="Z199" s="131" t="str">
        <f>IFERROR(IF(AND(S198="Probabilidad",S199="Probabilidad"),(Z198-(+Z198*V199)),IF(S199="Probabilidad",(L198-(+L198*V199)),IF(S199="Impacto",Z198,""))),"")</f>
        <v/>
      </c>
      <c r="AA199" s="219"/>
      <c r="AB199" s="219"/>
      <c r="AC199" s="497"/>
      <c r="AD199" s="182" t="str">
        <f>IFERROR(IF(AND(S198="Impacto",V199="Impacto"),(AD198-(+AD198*V199)),IF(S199="Impacto",(O198-(+O198*V199)),IF(S199="Probabilidad",AD198,""))),"")</f>
        <v/>
      </c>
      <c r="AE199" s="219"/>
      <c r="AF199" s="219"/>
      <c r="AG199" s="497"/>
      <c r="AH199" s="497"/>
      <c r="AI199" s="497"/>
      <c r="AJ199" s="173"/>
      <c r="AK199" s="179"/>
      <c r="AL199" s="154"/>
      <c r="AM199" s="179"/>
      <c r="AN199" s="179"/>
      <c r="AO199" s="173"/>
      <c r="AP199" s="497"/>
      <c r="AQ199" s="537"/>
      <c r="FM199" s="89"/>
    </row>
    <row r="200" spans="1:181" s="78" customFormat="1" ht="14.25" customHeight="1" x14ac:dyDescent="0.25">
      <c r="A200" s="447"/>
      <c r="B200" s="126" t="s">
        <v>476</v>
      </c>
      <c r="C200" s="325"/>
      <c r="D200" s="441"/>
      <c r="E200" s="441"/>
      <c r="F200" s="524"/>
      <c r="G200" s="438"/>
      <c r="H200" s="200"/>
      <c r="I200" s="518"/>
      <c r="J200" s="515"/>
      <c r="K200" s="497"/>
      <c r="L200" s="497"/>
      <c r="M200" s="497"/>
      <c r="N200" s="497"/>
      <c r="O200" s="510"/>
      <c r="P200" s="497"/>
      <c r="Q200" s="139"/>
      <c r="R200" s="141"/>
      <c r="S200" s="173"/>
      <c r="T200" s="173"/>
      <c r="U200" s="173"/>
      <c r="V200" s="178" t="str">
        <f t="shared" si="73"/>
        <v/>
      </c>
      <c r="W200" s="173"/>
      <c r="X200" s="173"/>
      <c r="Y200" s="173"/>
      <c r="Z200" s="131" t="str">
        <f>IFERROR(IF(AND(S199="Probabilidad",S200="Probabilidad"),(Z199-(+Z199*V200)),IF(S200="Probabilidad",(L199-(+L199*V200)),IF(S200="Impacto",Z199,""))),"")</f>
        <v/>
      </c>
      <c r="AA200" s="219"/>
      <c r="AB200" s="219"/>
      <c r="AC200" s="497"/>
      <c r="AD200" s="182" t="str">
        <f t="shared" ref="AD200:AD203" si="74">IFERROR(IF(AND(S199="Impacto",V200="Impacto"),(AD199-(+AD199*V200)),IF(S200="Impacto",(O199-(+O199*V200)),IF(S200="Probabilidad",AD199,""))),"")</f>
        <v/>
      </c>
      <c r="AE200" s="219"/>
      <c r="AF200" s="219"/>
      <c r="AG200" s="497"/>
      <c r="AH200" s="497"/>
      <c r="AI200" s="497"/>
      <c r="AJ200" s="173"/>
      <c r="AK200" s="179"/>
      <c r="AL200" s="154"/>
      <c r="AM200" s="179"/>
      <c r="AN200" s="179"/>
      <c r="AO200" s="173"/>
      <c r="AP200" s="497"/>
      <c r="AQ200" s="537"/>
      <c r="FM200" s="89"/>
    </row>
    <row r="201" spans="1:181" s="78" customFormat="1" ht="14.25" customHeight="1" x14ac:dyDescent="0.25">
      <c r="A201" s="447"/>
      <c r="B201" s="126" t="s">
        <v>476</v>
      </c>
      <c r="C201" s="325"/>
      <c r="D201" s="441"/>
      <c r="E201" s="441"/>
      <c r="F201" s="524"/>
      <c r="G201" s="438"/>
      <c r="H201" s="200"/>
      <c r="I201" s="518"/>
      <c r="J201" s="515"/>
      <c r="K201" s="497"/>
      <c r="L201" s="497"/>
      <c r="M201" s="497"/>
      <c r="N201" s="497"/>
      <c r="O201" s="510"/>
      <c r="P201" s="497"/>
      <c r="Q201" s="139"/>
      <c r="R201" s="141"/>
      <c r="S201" s="173"/>
      <c r="T201" s="173"/>
      <c r="U201" s="173"/>
      <c r="V201" s="178" t="str">
        <f t="shared" si="73"/>
        <v/>
      </c>
      <c r="W201" s="173"/>
      <c r="X201" s="173"/>
      <c r="Y201" s="173"/>
      <c r="Z201" s="131" t="str">
        <f>IFERROR(IF(AND(S200="Probabilidad",S201="Probabilidad"),(Z200-(+Z200*V201)),IF(S201="Probabilidad",(L200-(+L200*V201)),IF(S201="Impacto",Z200,""))),"")</f>
        <v/>
      </c>
      <c r="AA201" s="219"/>
      <c r="AB201" s="219"/>
      <c r="AC201" s="497"/>
      <c r="AD201" s="182" t="str">
        <f t="shared" si="74"/>
        <v/>
      </c>
      <c r="AE201" s="219"/>
      <c r="AF201" s="219"/>
      <c r="AG201" s="497"/>
      <c r="AH201" s="497"/>
      <c r="AI201" s="497"/>
      <c r="AJ201" s="173"/>
      <c r="AK201" s="179"/>
      <c r="AL201" s="154"/>
      <c r="AM201" s="179"/>
      <c r="AN201" s="179"/>
      <c r="AO201" s="173"/>
      <c r="AP201" s="497"/>
      <c r="AQ201" s="537"/>
      <c r="FM201" s="89"/>
    </row>
    <row r="202" spans="1:181" s="78" customFormat="1" ht="14.25" customHeight="1" x14ac:dyDescent="0.25">
      <c r="A202" s="447"/>
      <c r="B202" s="126" t="s">
        <v>476</v>
      </c>
      <c r="C202" s="325"/>
      <c r="D202" s="441"/>
      <c r="E202" s="441"/>
      <c r="F202" s="524"/>
      <c r="G202" s="438"/>
      <c r="H202" s="200"/>
      <c r="I202" s="518"/>
      <c r="J202" s="515"/>
      <c r="K202" s="497"/>
      <c r="L202" s="497"/>
      <c r="M202" s="497"/>
      <c r="N202" s="497"/>
      <c r="O202" s="510"/>
      <c r="P202" s="497"/>
      <c r="Q202" s="139"/>
      <c r="R202" s="141"/>
      <c r="S202" s="173"/>
      <c r="T202" s="173"/>
      <c r="U202" s="173"/>
      <c r="V202" s="178" t="str">
        <f t="shared" si="73"/>
        <v/>
      </c>
      <c r="W202" s="173"/>
      <c r="X202" s="173"/>
      <c r="Y202" s="173"/>
      <c r="Z202" s="131" t="str">
        <f>IFERROR(IF(AND(S201="Probabilidad",S202="Probabilidad"),(Z201-(+Z201*V202)),IF(S202="Probabilidad",(L201-(+L201*V202)),IF(S202="Impacto",Z201,""))),"")</f>
        <v/>
      </c>
      <c r="AA202" s="219"/>
      <c r="AB202" s="219"/>
      <c r="AC202" s="497"/>
      <c r="AD202" s="182" t="str">
        <f t="shared" si="74"/>
        <v/>
      </c>
      <c r="AE202" s="219"/>
      <c r="AF202" s="219"/>
      <c r="AG202" s="497"/>
      <c r="AH202" s="497"/>
      <c r="AI202" s="497"/>
      <c r="AJ202" s="173"/>
      <c r="AK202" s="179"/>
      <c r="AL202" s="154"/>
      <c r="AM202" s="179"/>
      <c r="AN202" s="179"/>
      <c r="AO202" s="173"/>
      <c r="AP202" s="497"/>
      <c r="AQ202" s="537"/>
      <c r="FM202" s="89"/>
    </row>
    <row r="203" spans="1:181" s="78" customFormat="1" ht="14.25" customHeight="1" x14ac:dyDescent="0.2">
      <c r="A203" s="460"/>
      <c r="B203" s="126" t="s">
        <v>476</v>
      </c>
      <c r="C203" s="459"/>
      <c r="D203" s="458"/>
      <c r="E203" s="458"/>
      <c r="F203" s="525"/>
      <c r="G203" s="457"/>
      <c r="H203" s="201"/>
      <c r="I203" s="519"/>
      <c r="J203" s="516"/>
      <c r="K203" s="498"/>
      <c r="L203" s="498"/>
      <c r="M203" s="521"/>
      <c r="N203" s="498"/>
      <c r="O203" s="511"/>
      <c r="P203" s="498"/>
      <c r="Q203" s="139"/>
      <c r="R203" s="141"/>
      <c r="S203" s="173"/>
      <c r="T203" s="173"/>
      <c r="U203" s="173"/>
      <c r="V203" s="178" t="str">
        <f t="shared" si="73"/>
        <v/>
      </c>
      <c r="W203" s="173"/>
      <c r="X203" s="173"/>
      <c r="Y203" s="173"/>
      <c r="Z203" s="131" t="str">
        <f>IFERROR(IF(AND(S202="Probabilidad",S203="Probabilidad"),(Z202-(+Z202*V203)),IF(S203="Probabilidad",(L202-(+L202*V203)),IF(S203="Impacto",Z202,""))),"")</f>
        <v/>
      </c>
      <c r="AA203" s="220"/>
      <c r="AB203" s="220"/>
      <c r="AC203" s="498"/>
      <c r="AD203" s="182" t="str">
        <f t="shared" si="74"/>
        <v/>
      </c>
      <c r="AE203" s="220"/>
      <c r="AF203" s="220"/>
      <c r="AG203" s="498"/>
      <c r="AH203" s="498"/>
      <c r="AI203" s="498"/>
      <c r="AJ203" s="173"/>
      <c r="AK203" s="179"/>
      <c r="AL203" s="154"/>
      <c r="AM203" s="179"/>
      <c r="AN203" s="179"/>
      <c r="AO203" s="173"/>
      <c r="AP203" s="498"/>
      <c r="AQ203" s="538"/>
      <c r="FM203" s="90"/>
      <c r="FN203" s="87"/>
      <c r="FO203" s="87"/>
      <c r="FP203" s="87"/>
      <c r="FQ203" s="87"/>
      <c r="FR203" s="87"/>
      <c r="FS203" s="87"/>
      <c r="FT203" s="87"/>
      <c r="FU203" s="87"/>
      <c r="FV203" s="87"/>
      <c r="FW203" s="87"/>
      <c r="FX203" s="87"/>
      <c r="FY203" s="87"/>
    </row>
    <row r="204" spans="1:181" s="78" customFormat="1" ht="13.5" customHeight="1" x14ac:dyDescent="0.25">
      <c r="A204" s="444">
        <v>38</v>
      </c>
      <c r="B204" s="126" t="s">
        <v>177</v>
      </c>
      <c r="C204" s="444" t="s">
        <v>260</v>
      </c>
      <c r="D204" s="440" t="s">
        <v>477</v>
      </c>
      <c r="E204" s="440" t="s">
        <v>478</v>
      </c>
      <c r="F204" s="499" t="s">
        <v>742</v>
      </c>
      <c r="G204" s="444" t="s">
        <v>265</v>
      </c>
      <c r="H204" s="472" t="s">
        <v>255</v>
      </c>
      <c r="I204" s="444" t="s">
        <v>169</v>
      </c>
      <c r="J204" s="444">
        <v>300</v>
      </c>
      <c r="K204" s="512" t="str">
        <f>IF(AND(J204&lt;=2),"Muy Baja",IF(AND(J204&gt;=3,J204&lt;=23),"Baja",IF(AND(J204&gt;=24,J204&lt;=499),"Media",IF(AND(J204&gt;=500,J204&lt;=4999),"Alta",IF(AND(J204&gt;=5000),"Muy Alta",FALSE)))))</f>
        <v>Media</v>
      </c>
      <c r="L204" s="512" t="str">
        <f>IF(AND(J204&lt;=2),"20%",IF(AND(J204&gt;=3,J204&lt;=23),"40%",IF(AND(J204&gt;=24,J204&lt;=499),"60%",IF(AND(J204&gt;=500,J204&lt;=4999),"80%",IF(AND(J204&gt;=5000),"100%",FALSE)))))</f>
        <v>60%</v>
      </c>
      <c r="M204" s="434" t="s">
        <v>163</v>
      </c>
      <c r="N204" s="512" t="str">
        <f>IF(AND(M204=$FQ$4),"Leve",IF(AND(M204=$FQ$5),"Menor",IF(AND(M204=$FQ$6),"Moderado",IF(AND(M204=$FQ$7),"mayor",IF(AND(M204=$FQ$8),"Catastrófico",IF(AND(M204=$FQ$10),"Leve",IF(AND(M204=$FQ$11),"Menor",IF(AND(M204=$FQ$12),"Moderado",IF(AND(M204=$FQ$13),"Mayor",IF(AND(M204=$FQ$14),"Catastrófico",FALSE))))))))))</f>
        <v>Leve</v>
      </c>
      <c r="O204" s="603" t="str">
        <f>IF(AND(N204="Leve"),"20%",IF(AND(N204="Menor"),"40%",IF(AND(N204="Moderado"),"60%",IF(AND(N204="Mayor"),"80%",IF(AND(N204="Catastrófico"),"100%","")))))</f>
        <v>20%</v>
      </c>
      <c r="P204" s="512" t="str">
        <f>IF(AND(L204&lt;="40%",O204="20%"),"Bajo",IF(AND(L204="60%",O204="20%"),"Moderado",IF(AND(L204="80%",O204="20%"),"Moderado",IF(AND(L204="100%",O204="20%"),"Alto",IF(AND(L204="20%",O204="40%"),"Bajo",IF(AND(L204="40%",O204="40%"),"Moderado",IF(AND(L204="60%",O204="40%"),"Moderado",IF(AND(L204="80%",O204="40%"),"Moderado",IF(AND(L204="100%",O204="40%"),"Alto",IF(AND(L204="20%",O204="60%"),"Moderado",IF(AND(L204="40%",O204="60%"),"Moderado",IF(AND(L204="60%",O204="60%"),"Moderado",IF(AND(L204="80%",O204="60%"),"Alto",IF(AND(L204="100%",O204="60%"),"Alto",IF(AND(L204="20%",O204="80%"),"Alto",IF(AND(L204="40%",O204="80%"),"Alto",IF(AND(L204="60%",O204="80%"),"Alto",IF(AND(L204="80%",O204="80%"),"Alto",IF(AND(L204="100%",O204="80%"),"Alto",IF(AND(L204="20%",O204="100%"),"Extremo",IF(AND(L204="40%",O204="100%"),"Extremo",IF(AND(L204="60%",O204="100%"),"Extremo",IF(AND(L204="80%",O204="100%"),"Moderado",IF(AND(L204="100%",O204="100%"),"Extremo",""""))))))))))))))))))))))))</f>
        <v>Moderado</v>
      </c>
      <c r="Q204" s="143">
        <v>1</v>
      </c>
      <c r="R204" s="173" t="s">
        <v>179</v>
      </c>
      <c r="S204" s="173" t="s">
        <v>237</v>
      </c>
      <c r="T204" s="173" t="s">
        <v>152</v>
      </c>
      <c r="U204" s="173" t="s">
        <v>171</v>
      </c>
      <c r="V204" s="173" t="str">
        <f>IF(AND(T204=$FS$2,U204=$FT$2),"50%",IF(AND(T204=$FS$2,U204=$FT$3),"40%",IF(AND(T204=$FS$3,U204=$FT$2),"40%",IF(AND(T204=$FS$3,U204=$FT$3),"30%",IF(AND(T204=$FS$4,U204=$FT$2),"35%",IF(AND(T204=$FS$4,U204=$FT$3),"25%",""))))))</f>
        <v>50%</v>
      </c>
      <c r="W204" s="173" t="s">
        <v>154</v>
      </c>
      <c r="X204" s="173" t="s">
        <v>155</v>
      </c>
      <c r="Y204" s="173" t="s">
        <v>156</v>
      </c>
      <c r="Z204" s="144">
        <f>IFERROR(IF(S204="Probabilidad",(L204-(+L204*V204)),IF(S204="Impacto",L204,"")),"")</f>
        <v>0.3</v>
      </c>
      <c r="AA204" s="604">
        <f>LOOKUP(2,1/(Z204:Z209&lt;&gt;""),Z204:Z209)</f>
        <v>0.3</v>
      </c>
      <c r="AB204" s="605"/>
      <c r="AC204" s="512" t="str">
        <f>IF(AND(AA204&lt;=20%),"Muy Baja",IF(AND(AA204&gt;=21%,AA204&lt;=40%),"Baja",IF(AND(AA204&gt;=41%,AA204&lt;=60%),"Media",IF(AND(AA204&gt;=61%,AA204&lt;=80%),"Alta",IF(AND(AA204&gt;=81%,AA204&gt;=100%),"Muy Alta",FALSE)))))</f>
        <v>Baja</v>
      </c>
      <c r="AD204" s="605" t="str">
        <f>IFERROR(IF(S204="Impacto",(O204-(+O204*V204)),IF(S204="Probabilidad",O204,"")),"")</f>
        <v>20%</v>
      </c>
      <c r="AE204" s="604">
        <f>LOOKUP(2,1/(AD204:AD209&lt;&gt;""),AD204:AD209)</f>
        <v>0</v>
      </c>
      <c r="AF204" s="605"/>
      <c r="AG204" s="512" t="str">
        <f>IF(AND(AE204&lt;=20%),"Leve",IF(AND(AE204&gt;=21%,AE204&lt;=40%),"Menor",IF(AND(AE204&gt;=41%,AE204&lt;=60%),"Moderado",IF(AND(AE204&gt;=61%,AE204&lt;=80%),"Mayor",IF(AND(AE204&gt;=81%,AE204&gt;=100%),"Catastrófico",FALSE)))))</f>
        <v>Leve</v>
      </c>
      <c r="AH204" s="512" t="str">
        <f>IF(OR(AND(AC204="Media",AG204="Leve"),AND(AC204="Alta",AG204="Leve"),AND(AC204="Alta",AG204="Menor"),AND(AC204="Media",AG204="Menor"),AND(AC204="Baja",AG204="Menor"),AND(AC204="Media",AG204="Moderado"),AND(AC204="Baja",AG204="Moderado"),AND(AC204="Muy Baja",AG204="Moderado")),"Moderado",IF(OR(AND(AC204="Baja",AG204="Leve"),AND(AC204="Muy Baja",AG204="Leve"),AND(AC204="Muy Baja",AG204="Menor")),"Bajo",IF(OR(AND(AC204="Muy Alta",AG204="Leve"),AND(AC204="Muy Alta",AG204="Menor"),AND(AC204="Muy Alta",AG204="Moderado"),AND(AC204="Alta",AG204="Moderado"),AND(AC204="Muy Alta",AG204="Mayor"),AND(AC204="Alta",AG204="Mayor"),AND(AC204="Media",AG204="Mayor"),AND(AC204="Baja",AG204="Mayor"),AND(AC204="Muy Baja",AG204="Mayor")),"Alto",IF(OR(AND(AC204="Alta",AG204="Catastrófico"),AND(AC204="Muy Alta",AG204="Catastrófico"),AND(AC204="Media",AG204="Catastrófico"),AND(AC204="Baja",AG204="Catastrófico"),AND(AC204="Muy Baja",AG204="Catastrófico")),"Extremo",IF(AG204="Catastrófico","Extremo")))))</f>
        <v>Bajo</v>
      </c>
      <c r="AI204" s="512" t="s">
        <v>77</v>
      </c>
      <c r="AJ204" s="173"/>
      <c r="AK204" s="173"/>
      <c r="AL204" s="155"/>
      <c r="AM204" s="173"/>
      <c r="AN204" s="173"/>
      <c r="AO204" s="173"/>
      <c r="AP204" s="496" t="s">
        <v>180</v>
      </c>
      <c r="AQ204" s="539" t="s">
        <v>113</v>
      </c>
      <c r="FM204" s="89"/>
      <c r="FP204" s="78" t="s">
        <v>255</v>
      </c>
      <c r="FQ204" s="80" t="s">
        <v>256</v>
      </c>
    </row>
    <row r="205" spans="1:181" s="78" customFormat="1" ht="13.5" customHeight="1" x14ac:dyDescent="0.2">
      <c r="A205" s="325"/>
      <c r="B205" s="126" t="s">
        <v>177</v>
      </c>
      <c r="C205" s="325"/>
      <c r="D205" s="441"/>
      <c r="E205" s="441"/>
      <c r="F205" s="500"/>
      <c r="G205" s="325"/>
      <c r="H205" s="325"/>
      <c r="I205" s="325"/>
      <c r="J205" s="325"/>
      <c r="K205" s="435"/>
      <c r="L205" s="435"/>
      <c r="M205" s="435"/>
      <c r="N205" s="435"/>
      <c r="O205" s="606"/>
      <c r="P205" s="435"/>
      <c r="Q205" s="143">
        <v>2</v>
      </c>
      <c r="R205" s="141" t="s">
        <v>181</v>
      </c>
      <c r="S205" s="173" t="s">
        <v>242</v>
      </c>
      <c r="T205" s="173" t="s">
        <v>174</v>
      </c>
      <c r="U205" s="173" t="s">
        <v>171</v>
      </c>
      <c r="V205" s="173" t="str">
        <f t="shared" ref="V205:V215" si="75">IF(AND(T205=$FS$2,U205=$FT$2),"50%",IF(AND(T205=$FS$2,U205=$FT$3),"40%",IF(AND(T205=$FS$3,U205=$FT$2),"40%",IF(AND(T205=$FS$3,U205=$FT$3),"30%",IF(AND(T205=$FS$4,U205=$FT$2),"35%",IF(AND(T205=$FS$4,U205=$FT$3),"25%",""))))))</f>
        <v>35%</v>
      </c>
      <c r="W205" s="173" t="s">
        <v>154</v>
      </c>
      <c r="X205" s="173" t="s">
        <v>155</v>
      </c>
      <c r="Y205" s="173" t="s">
        <v>156</v>
      </c>
      <c r="Z205" s="144">
        <f>IFERROR(IF(AND(S204="Probabilidad",S205="Probabilidad"),(Z204-(+Z204*V205)),IF(S205="Probabilidad",(L204-(+L204*V205)),IF(S205="Impacto",Z204,""))),"")</f>
        <v>0.3</v>
      </c>
      <c r="AA205" s="607"/>
      <c r="AB205" s="605"/>
      <c r="AC205" s="435"/>
      <c r="AD205" s="605">
        <f>IFERROR(IF(AND(S204="Impacto",V205="Impacto"),(AD204-(+AD204*V205)),IF(S205="Impacto",(O204-(+O204*V205)),IF(S205="Probabilidad",AD204,""))),"")</f>
        <v>0.13</v>
      </c>
      <c r="AE205" s="607"/>
      <c r="AF205" s="605"/>
      <c r="AG205" s="435"/>
      <c r="AH205" s="435"/>
      <c r="AI205" s="435"/>
      <c r="AJ205" s="173"/>
      <c r="AK205" s="173"/>
      <c r="AL205" s="155"/>
      <c r="AM205" s="173"/>
      <c r="AN205" s="173"/>
      <c r="AO205" s="173"/>
      <c r="AP205" s="497"/>
      <c r="AQ205" s="537"/>
      <c r="FM205" s="89"/>
      <c r="FP205" s="78" t="s">
        <v>196</v>
      </c>
      <c r="FQ205" s="87" t="s">
        <v>158</v>
      </c>
    </row>
    <row r="206" spans="1:181" s="78" customFormat="1" ht="13.5" customHeight="1" x14ac:dyDescent="0.2">
      <c r="A206" s="325"/>
      <c r="B206" s="126" t="s">
        <v>177</v>
      </c>
      <c r="C206" s="325"/>
      <c r="D206" s="441"/>
      <c r="E206" s="441"/>
      <c r="F206" s="500"/>
      <c r="G206" s="325"/>
      <c r="H206" s="325"/>
      <c r="I206" s="325"/>
      <c r="J206" s="325"/>
      <c r="K206" s="435"/>
      <c r="L206" s="435"/>
      <c r="M206" s="435"/>
      <c r="N206" s="435"/>
      <c r="O206" s="606"/>
      <c r="P206" s="435"/>
      <c r="Q206" s="143">
        <v>3</v>
      </c>
      <c r="R206" s="141" t="s">
        <v>182</v>
      </c>
      <c r="S206" s="173" t="s">
        <v>242</v>
      </c>
      <c r="T206" s="173" t="s">
        <v>174</v>
      </c>
      <c r="U206" s="173" t="s">
        <v>171</v>
      </c>
      <c r="V206" s="173" t="str">
        <f t="shared" si="75"/>
        <v>35%</v>
      </c>
      <c r="W206" s="173" t="s">
        <v>154</v>
      </c>
      <c r="X206" s="173" t="s">
        <v>155</v>
      </c>
      <c r="Y206" s="173" t="s">
        <v>156</v>
      </c>
      <c r="Z206" s="144">
        <f>IFERROR(IF(AND(S205="Probabilidad",S206="Probabilidad"),(Z205-(+Z205*V206)),IF(S206="Probabilidad",(L205-(+L205*V206)),IF(S206="Impacto",Z205,""))),"")</f>
        <v>0.3</v>
      </c>
      <c r="AA206" s="607"/>
      <c r="AB206" s="605"/>
      <c r="AC206" s="435"/>
      <c r="AD206" s="605">
        <f t="shared" ref="AD206:AD209" si="76">IFERROR(IF(AND(S205="Impacto",V206="Impacto"),(AD205-(+AD205*V206)),IF(S206="Impacto",(O205-(+O205*V206)),IF(S206="Probabilidad",AD205,""))),"")</f>
        <v>0</v>
      </c>
      <c r="AE206" s="607"/>
      <c r="AF206" s="605"/>
      <c r="AG206" s="435"/>
      <c r="AH206" s="435"/>
      <c r="AI206" s="435"/>
      <c r="AJ206" s="173"/>
      <c r="AK206" s="173"/>
      <c r="AL206" s="155"/>
      <c r="AM206" s="173"/>
      <c r="AN206" s="173"/>
      <c r="AO206" s="173"/>
      <c r="AP206" s="497"/>
      <c r="AQ206" s="537"/>
      <c r="FM206" s="89"/>
      <c r="FQ206" s="87" t="s">
        <v>160</v>
      </c>
    </row>
    <row r="207" spans="1:181" s="78" customFormat="1" ht="13.5" customHeight="1" x14ac:dyDescent="0.2">
      <c r="A207" s="325"/>
      <c r="B207" s="126" t="s">
        <v>177</v>
      </c>
      <c r="C207" s="325"/>
      <c r="D207" s="441"/>
      <c r="E207" s="441"/>
      <c r="F207" s="500"/>
      <c r="G207" s="325"/>
      <c r="H207" s="325"/>
      <c r="I207" s="325"/>
      <c r="J207" s="325"/>
      <c r="K207" s="435"/>
      <c r="L207" s="435"/>
      <c r="M207" s="435"/>
      <c r="N207" s="435"/>
      <c r="O207" s="606"/>
      <c r="P207" s="435"/>
      <c r="Q207" s="143"/>
      <c r="R207" s="173"/>
      <c r="S207" s="173"/>
      <c r="T207" s="173"/>
      <c r="U207" s="173"/>
      <c r="V207" s="173" t="str">
        <f t="shared" si="75"/>
        <v/>
      </c>
      <c r="W207" s="173"/>
      <c r="X207" s="173"/>
      <c r="Y207" s="173"/>
      <c r="Z207" s="144" t="str">
        <f>IFERROR(IF(AND(S206="Probabilidad",S207="Probabilidad"),(Z206-(+Z206*V207)),IF(S207="Probabilidad",(L206-(+L206*V207)),IF(S207="Impacto",Z206,""))),"")</f>
        <v/>
      </c>
      <c r="AA207" s="607"/>
      <c r="AB207" s="605"/>
      <c r="AC207" s="435"/>
      <c r="AD207" s="605" t="str">
        <f t="shared" si="76"/>
        <v/>
      </c>
      <c r="AE207" s="607"/>
      <c r="AF207" s="605"/>
      <c r="AG207" s="435"/>
      <c r="AH207" s="435"/>
      <c r="AI207" s="435"/>
      <c r="AJ207" s="173"/>
      <c r="AK207" s="173"/>
      <c r="AL207" s="155"/>
      <c r="AM207" s="173"/>
      <c r="AN207" s="173"/>
      <c r="AO207" s="173"/>
      <c r="AP207" s="497"/>
      <c r="AQ207" s="537"/>
      <c r="FM207" s="89"/>
      <c r="FQ207" s="87" t="s">
        <v>162</v>
      </c>
    </row>
    <row r="208" spans="1:181" s="78" customFormat="1" ht="13.5" customHeight="1" x14ac:dyDescent="0.2">
      <c r="A208" s="325"/>
      <c r="B208" s="126" t="s">
        <v>177</v>
      </c>
      <c r="C208" s="325"/>
      <c r="D208" s="441"/>
      <c r="E208" s="441"/>
      <c r="F208" s="500"/>
      <c r="G208" s="325"/>
      <c r="H208" s="325"/>
      <c r="I208" s="325"/>
      <c r="J208" s="325"/>
      <c r="K208" s="435"/>
      <c r="L208" s="435"/>
      <c r="M208" s="435"/>
      <c r="N208" s="435"/>
      <c r="O208" s="606"/>
      <c r="P208" s="435"/>
      <c r="Q208" s="143"/>
      <c r="R208" s="173"/>
      <c r="S208" s="173"/>
      <c r="T208" s="173"/>
      <c r="U208" s="173"/>
      <c r="V208" s="173" t="str">
        <f t="shared" si="75"/>
        <v/>
      </c>
      <c r="W208" s="173"/>
      <c r="X208" s="173"/>
      <c r="Y208" s="173"/>
      <c r="Z208" s="144" t="str">
        <f>IFERROR(IF(AND(S207="Probabilidad",S208="Probabilidad"),(Z207-(+Z207*V208)),IF(S208="Probabilidad",(L207-(+L207*V208)),IF(S208="Impacto",Z207,""))),"")</f>
        <v/>
      </c>
      <c r="AA208" s="607"/>
      <c r="AB208" s="605"/>
      <c r="AC208" s="435"/>
      <c r="AD208" s="605" t="str">
        <f t="shared" si="76"/>
        <v/>
      </c>
      <c r="AE208" s="607"/>
      <c r="AF208" s="605"/>
      <c r="AG208" s="435"/>
      <c r="AH208" s="435"/>
      <c r="AI208" s="435"/>
      <c r="AJ208" s="173"/>
      <c r="AK208" s="173"/>
      <c r="AL208" s="155"/>
      <c r="AM208" s="173"/>
      <c r="AN208" s="173"/>
      <c r="AO208" s="173"/>
      <c r="AP208" s="497"/>
      <c r="AQ208" s="537"/>
      <c r="FM208" s="89"/>
      <c r="FQ208" s="87" t="s">
        <v>257</v>
      </c>
    </row>
    <row r="209" spans="1:181" s="78" customFormat="1" ht="13.5" customHeight="1" x14ac:dyDescent="0.2">
      <c r="A209" s="459"/>
      <c r="B209" s="126" t="s">
        <v>177</v>
      </c>
      <c r="C209" s="459"/>
      <c r="D209" s="458"/>
      <c r="E209" s="458"/>
      <c r="F209" s="501"/>
      <c r="G209" s="459"/>
      <c r="H209" s="459"/>
      <c r="I209" s="459"/>
      <c r="J209" s="459"/>
      <c r="K209" s="436"/>
      <c r="L209" s="436"/>
      <c r="M209" s="436"/>
      <c r="N209" s="436"/>
      <c r="O209" s="608"/>
      <c r="P209" s="436"/>
      <c r="Q209" s="143"/>
      <c r="R209" s="173"/>
      <c r="S209" s="173"/>
      <c r="T209" s="173"/>
      <c r="U209" s="173"/>
      <c r="V209" s="173" t="str">
        <f t="shared" si="75"/>
        <v/>
      </c>
      <c r="W209" s="173"/>
      <c r="X209" s="173"/>
      <c r="Y209" s="173"/>
      <c r="Z209" s="144" t="str">
        <f>IFERROR(IF(AND(S208="Probabilidad",S209="Probabilidad"),(Z208-(+Z208*V209)),IF(S209="Probabilidad",(L208-(+L208*V209)),IF(S209="Impacto",Z208,""))),"")</f>
        <v/>
      </c>
      <c r="AA209" s="609"/>
      <c r="AB209" s="605"/>
      <c r="AC209" s="436"/>
      <c r="AD209" s="605" t="str">
        <f t="shared" si="76"/>
        <v/>
      </c>
      <c r="AE209" s="609"/>
      <c r="AF209" s="605"/>
      <c r="AG209" s="436"/>
      <c r="AH209" s="436"/>
      <c r="AI209" s="436"/>
      <c r="AJ209" s="173"/>
      <c r="AK209" s="173"/>
      <c r="AL209" s="155"/>
      <c r="AM209" s="173"/>
      <c r="AN209" s="173"/>
      <c r="AO209" s="173"/>
      <c r="AP209" s="498"/>
      <c r="AQ209" s="538"/>
      <c r="FM209" s="89"/>
      <c r="FQ209" s="87" t="s">
        <v>170</v>
      </c>
    </row>
    <row r="210" spans="1:181" s="78" customFormat="1" ht="18.75" customHeight="1" x14ac:dyDescent="0.25">
      <c r="A210" s="444">
        <v>38</v>
      </c>
      <c r="B210" s="126" t="s">
        <v>177</v>
      </c>
      <c r="C210" s="444" t="s">
        <v>260</v>
      </c>
      <c r="D210" s="440" t="s">
        <v>819</v>
      </c>
      <c r="E210" s="440" t="s">
        <v>820</v>
      </c>
      <c r="F210" s="499" t="s">
        <v>821</v>
      </c>
      <c r="G210" s="444" t="s">
        <v>265</v>
      </c>
      <c r="H210" s="444" t="s">
        <v>255</v>
      </c>
      <c r="I210" s="434" t="s">
        <v>169</v>
      </c>
      <c r="J210" s="434">
        <v>12</v>
      </c>
      <c r="K210" s="434" t="str">
        <f>IF(AND(J210&lt;=2),"Muy Baja",IF(AND(J210&gt;=3,J210&lt;=23),"Baja",IF(AND(J210&gt;=24,J210&lt;=499),"Media",IF(AND(J210&gt;=500,J210&lt;=4999),"Alta",IF(AND(J210&gt;=5000),"Muy Alta",FALSE)))))</f>
        <v>Baja</v>
      </c>
      <c r="L210" s="434" t="str">
        <f>IF(AND(J210&lt;=2),"20%",IF(AND(J210&gt;=3,J210&lt;=23),"40%",IF(AND(J210&gt;=24,J210&lt;=499),"60%",IF(AND(J210&gt;=500,J210&lt;=4999),"80%",IF(AND(J210&gt;=5000),"100%",FALSE)))))</f>
        <v>40%</v>
      </c>
      <c r="M210" s="434" t="s">
        <v>163</v>
      </c>
      <c r="N210" s="434" t="str">
        <f>IF(AND(M210=$FQ$4),"Leve",IF(AND(M210=$FQ$5),"Menor",IF(AND(M210=$FQ$6),"Moderado",IF(AND(M210=$FQ$7),"mayor",IF(AND(M210=$FQ$8),"Catastrófico",IF(AND(M210=$FQ$10),"Leve",IF(AND(M210=$FQ$11),"Menor",IF(AND(M210=$FQ$12),"Moderado",IF(AND(M210=$FQ$13),"Mayor",IF(AND(M210=$FQ$14),"Catastrófico",FALSE))))))))))</f>
        <v>Leve</v>
      </c>
      <c r="O210" s="610" t="str">
        <f>IF(AND(N210="Leve"),"20%",IF(AND(N210="Menor"),"40%",IF(AND(N210="Moderado"),"60%",IF(AND(N210="Mayor"),"80%",IF(AND(N210="Catastrófico"),"100%","")))))</f>
        <v>20%</v>
      </c>
      <c r="P210" s="434" t="str">
        <f>IF(AND(L210&lt;="40%",O210="20%"),"Bajo",IF(AND(L210="60%",O210="20%"),"Moderado",IF(AND(L210="80%",O210="20%"),"Moderado",IF(AND(L210="100%",O210="20%"),"Alto",IF(AND(L210="20%",O210="40%"),"Bajo",IF(AND(L210="40%",O210="40%"),"Moderado",IF(AND(L210="60%",O210="40%"),"Moderado",IF(AND(L210="80%",O210="40%"),"Moderado",IF(AND(L210="100%",O210="40%"),"Alto",IF(AND(L210="20%",O210="60%"),"Moderado",IF(AND(L210="40%",O210="60%"),"Moderado",IF(AND(L210="60%",O210="60%"),"Moderado",IF(AND(L210="80%",O210="60%"),"Alto",IF(AND(L210="100%",O210="60%"),"Alto",IF(AND(L210="20%",O210="80%"),"Alto",IF(AND(L210="40%",O210="80%"),"Alto",IF(AND(L210="60%",O210="80%"),"Alto",IF(AND(L210="80%",O210="80%"),"Alto",IF(AND(L210="100%",O210="80%"),"Alto",IF(AND(L210="20%",O210="100%"),"Extremo",IF(AND(L210="40%",O210="100%"),"Extremo",IF(AND(L210="60%",O210="100%"),"Extremo",IF(AND(L210="80%",O210="100%"),"Moderado",IF(AND(L210="100%",O210="100%"),"Extremo",""""))))))))))))))))))))))))</f>
        <v>Bajo</v>
      </c>
      <c r="Q210" s="611">
        <v>1</v>
      </c>
      <c r="R210" s="141" t="s">
        <v>822</v>
      </c>
      <c r="S210" s="173" t="s">
        <v>242</v>
      </c>
      <c r="T210" s="173" t="s">
        <v>174</v>
      </c>
      <c r="U210" s="173" t="s">
        <v>171</v>
      </c>
      <c r="V210" s="173" t="str">
        <f t="shared" si="75"/>
        <v>35%</v>
      </c>
      <c r="W210" s="173" t="s">
        <v>154</v>
      </c>
      <c r="X210" s="173" t="s">
        <v>155</v>
      </c>
      <c r="Y210" s="173" t="s">
        <v>156</v>
      </c>
      <c r="Z210" s="144" t="str">
        <f>IFERROR(IF(S210="Probabilidad",(L210-(+L210*V210)),IF(S210="Impacto",L210,"")),"")</f>
        <v>40%</v>
      </c>
      <c r="AA210" s="612" t="str">
        <f>LOOKUP(2,1/(Z210:Z215&lt;&gt;""),Z210:Z215)</f>
        <v>40%</v>
      </c>
      <c r="AB210" s="605"/>
      <c r="AC210" s="434" t="str">
        <f>IF(AND(AA210&lt;=20%),"Muy Baja",IF(AND(AA210&gt;=21%,AA210&lt;=40%),"Baja",IF(AND(AA210&gt;=41%,AA210&lt;=60%),"Media",IF(AND(AA210&gt;=61%,AA210&lt;=80%),"Alta",IF(AND(AA210&gt;=81%,AA210&gt;=100%),"Muy Alta",FALSE)))))</f>
        <v>Muy Alta</v>
      </c>
      <c r="AD210" s="605">
        <f>IFERROR(IF(S210="Impacto",(O210-(+O210*V210)),IF(S210="Probabilidad",O210,"")),"")</f>
        <v>0.13</v>
      </c>
      <c r="AE210" s="612">
        <f>LOOKUP(2,1/(AD210:AD215&lt;&gt;""),AD210:AD215)</f>
        <v>0.13</v>
      </c>
      <c r="AF210" s="605"/>
      <c r="AG210" s="434" t="str">
        <f>IF(AND(AE210&lt;=20%),"Leve",IF(AND(AE210&gt;=21%,AE210&lt;=40%),"Menor",IF(AND(AE210&gt;=41%,AE210&lt;=60%),"Moderado",IF(AND(AE210&gt;=61%,AE210&lt;=80%),"Mayor",IF(AND(AE210&gt;=81%,AE210&gt;=100%),"Catastrófico",FALSE)))))</f>
        <v>Leve</v>
      </c>
      <c r="AH210" s="434" t="str">
        <f>IF(OR(AND(AC210="Media",AG210="Leve"),AND(AC210="Alta",AG210="Leve"),AND(AC210="Alta",AG210="Menor"),AND(AC210="Media",AG210="Menor"),AND(AC210="Baja",AG210="Menor"),AND(AC210="Media",AG210="Moderado"),AND(AC210="Baja",AG210="Moderado"),AND(AC210="Muy Baja",AG210="Moderado")),"Moderado",IF(OR(AND(AC210="Baja",AG210="Leve"),AND(AC210="Muy Baja",AG210="Leve"),AND(AC210="Muy Baja",AG210="Menor")),"Bajo",IF(OR(AND(AC210="Muy Alta",AG210="Leve"),AND(AC210="Muy Alta",AG210="Menor"),AND(AC210="Muy Alta",AG210="Moderado"),AND(AC210="Alta",AG210="Moderado"),AND(AC210="Muy Alta",AG210="Mayor"),AND(AC210="Alta",AG210="Mayor"),AND(AC210="Media",AG210="Mayor"),AND(AC210="Baja",AG210="Mayor"),AND(AC210="Muy Baja",AG210="Mayor")),"Alto",IF(OR(AND(AC210="Alta",AG210="Catastrófico"),AND(AC210="Muy Alta",AG210="Catastrófico"),AND(AC210="Media",AG210="Catastrófico"),AND(AC210="Baja",AG210="Catastrófico"),AND(AC210="Muy Baja",AG210="Catastrófico")),"Extremo",IF(AG210="Catastrófico","Extremo")))))</f>
        <v>Alto</v>
      </c>
      <c r="AI210" s="434" t="s">
        <v>77</v>
      </c>
      <c r="AJ210" s="183"/>
      <c r="AK210" s="183"/>
      <c r="AL210" s="398"/>
      <c r="AM210" s="183"/>
      <c r="AN210" s="183"/>
      <c r="AO210" s="183"/>
      <c r="AP210" s="496" t="s">
        <v>180</v>
      </c>
      <c r="AQ210" s="539" t="s">
        <v>113</v>
      </c>
      <c r="FM210" s="89"/>
      <c r="FP210" s="78" t="s">
        <v>255</v>
      </c>
      <c r="FQ210" s="80" t="s">
        <v>256</v>
      </c>
    </row>
    <row r="211" spans="1:181" s="78" customFormat="1" ht="18.75" customHeight="1" x14ac:dyDescent="0.2">
      <c r="A211" s="325"/>
      <c r="B211" s="126" t="s">
        <v>177</v>
      </c>
      <c r="C211" s="325"/>
      <c r="D211" s="441"/>
      <c r="E211" s="441"/>
      <c r="F211" s="500"/>
      <c r="G211" s="325"/>
      <c r="H211" s="325"/>
      <c r="I211" s="435"/>
      <c r="J211" s="435"/>
      <c r="K211" s="435"/>
      <c r="L211" s="435"/>
      <c r="M211" s="435"/>
      <c r="N211" s="435"/>
      <c r="O211" s="606"/>
      <c r="P211" s="435"/>
      <c r="Q211" s="611">
        <v>2</v>
      </c>
      <c r="R211" s="141" t="s">
        <v>182</v>
      </c>
      <c r="S211" s="173" t="s">
        <v>242</v>
      </c>
      <c r="T211" s="173" t="s">
        <v>174</v>
      </c>
      <c r="U211" s="173" t="s">
        <v>171</v>
      </c>
      <c r="V211" s="173" t="str">
        <f t="shared" si="75"/>
        <v>35%</v>
      </c>
      <c r="W211" s="173" t="s">
        <v>154</v>
      </c>
      <c r="X211" s="173" t="s">
        <v>155</v>
      </c>
      <c r="Y211" s="173" t="s">
        <v>156</v>
      </c>
      <c r="Z211" s="144" t="str">
        <f>IFERROR(IF(AND(S210="Probabilidad",S211="Probabilidad"),(Z210-(+Z210*V211)),IF(S211="Probabilidad",(L210-(+L210*V211)),IF(S211="Impacto",Z210,""))),"")</f>
        <v>40%</v>
      </c>
      <c r="AA211" s="607"/>
      <c r="AB211" s="605"/>
      <c r="AC211" s="435"/>
      <c r="AD211" s="605">
        <f>IFERROR(IF(AND(S210="Impacto",V211="Impacto"),(AD210-(+AD210*V211)),IF(S211="Impacto",(O210-(+O210*V211)),IF(S211="Probabilidad",AD210,""))),"")</f>
        <v>0.13</v>
      </c>
      <c r="AE211" s="607"/>
      <c r="AF211" s="605"/>
      <c r="AG211" s="435"/>
      <c r="AH211" s="435"/>
      <c r="AI211" s="435"/>
      <c r="AJ211" s="183"/>
      <c r="AK211" s="183"/>
      <c r="AL211" s="398"/>
      <c r="AM211" s="183"/>
      <c r="AN211" s="183"/>
      <c r="AO211" s="183"/>
      <c r="AP211" s="497"/>
      <c r="AQ211" s="537"/>
      <c r="FM211" s="89"/>
      <c r="FP211" s="78" t="s">
        <v>196</v>
      </c>
      <c r="FQ211" s="87" t="s">
        <v>158</v>
      </c>
    </row>
    <row r="212" spans="1:181" s="78" customFormat="1" ht="18.75" customHeight="1" x14ac:dyDescent="0.2">
      <c r="A212" s="325"/>
      <c r="B212" s="126" t="s">
        <v>177</v>
      </c>
      <c r="C212" s="325"/>
      <c r="D212" s="441"/>
      <c r="E212" s="441"/>
      <c r="F212" s="500"/>
      <c r="G212" s="325"/>
      <c r="H212" s="325"/>
      <c r="I212" s="435"/>
      <c r="J212" s="435"/>
      <c r="K212" s="435"/>
      <c r="L212" s="435"/>
      <c r="M212" s="435"/>
      <c r="N212" s="435"/>
      <c r="O212" s="606"/>
      <c r="P212" s="435"/>
      <c r="Q212" s="611"/>
      <c r="R212" s="141"/>
      <c r="S212" s="173"/>
      <c r="T212" s="173"/>
      <c r="U212" s="173"/>
      <c r="V212" s="173" t="str">
        <f t="shared" si="75"/>
        <v/>
      </c>
      <c r="W212" s="173"/>
      <c r="X212" s="173"/>
      <c r="Y212" s="173"/>
      <c r="Z212" s="144" t="str">
        <f>IFERROR(IF(AND(S211="Probabilidad",S212="Probabilidad"),(Z211-(+Z211*V212)),IF(S212="Probabilidad",(L211-(+L211*V212)),IF(S212="Impacto",Z211,""))),"")</f>
        <v/>
      </c>
      <c r="AA212" s="607"/>
      <c r="AB212" s="605"/>
      <c r="AC212" s="435"/>
      <c r="AD212" s="605" t="str">
        <f t="shared" ref="AD212:AD215" si="77">IFERROR(IF(AND(S211="Impacto",V212="Impacto"),(AD211-(+AD211*V212)),IF(S212="Impacto",(O211-(+O211*V212)),IF(S212="Probabilidad",AD211,""))),"")</f>
        <v/>
      </c>
      <c r="AE212" s="607"/>
      <c r="AF212" s="605"/>
      <c r="AG212" s="435"/>
      <c r="AH212" s="435"/>
      <c r="AI212" s="435"/>
      <c r="AJ212" s="183"/>
      <c r="AK212" s="183"/>
      <c r="AL212" s="398"/>
      <c r="AM212" s="183"/>
      <c r="AN212" s="183"/>
      <c r="AO212" s="183"/>
      <c r="AP212" s="497"/>
      <c r="AQ212" s="537"/>
      <c r="FM212" s="89"/>
      <c r="FQ212" s="87" t="s">
        <v>160</v>
      </c>
    </row>
    <row r="213" spans="1:181" s="78" customFormat="1" ht="18.75" customHeight="1" x14ac:dyDescent="0.2">
      <c r="A213" s="325"/>
      <c r="B213" s="126" t="s">
        <v>177</v>
      </c>
      <c r="C213" s="325"/>
      <c r="D213" s="441"/>
      <c r="E213" s="441"/>
      <c r="F213" s="500"/>
      <c r="G213" s="325"/>
      <c r="H213" s="325"/>
      <c r="I213" s="435"/>
      <c r="J213" s="435"/>
      <c r="K213" s="435"/>
      <c r="L213" s="435"/>
      <c r="M213" s="435"/>
      <c r="N213" s="435"/>
      <c r="O213" s="606"/>
      <c r="P213" s="435"/>
      <c r="Q213" s="611"/>
      <c r="R213" s="173"/>
      <c r="S213" s="173"/>
      <c r="T213" s="173"/>
      <c r="U213" s="173"/>
      <c r="V213" s="173" t="str">
        <f t="shared" si="75"/>
        <v/>
      </c>
      <c r="W213" s="173"/>
      <c r="X213" s="173"/>
      <c r="Y213" s="173"/>
      <c r="Z213" s="144" t="str">
        <f>IFERROR(IF(AND(S212="Probabilidad",S213="Probabilidad"),(Z212-(+Z212*V213)),IF(S213="Probabilidad",(L212-(+L212*V213)),IF(S213="Impacto",Z212,""))),"")</f>
        <v/>
      </c>
      <c r="AA213" s="607"/>
      <c r="AB213" s="605"/>
      <c r="AC213" s="435"/>
      <c r="AD213" s="605" t="str">
        <f t="shared" si="77"/>
        <v/>
      </c>
      <c r="AE213" s="607"/>
      <c r="AF213" s="605"/>
      <c r="AG213" s="435"/>
      <c r="AH213" s="435"/>
      <c r="AI213" s="435"/>
      <c r="AJ213" s="183"/>
      <c r="AK213" s="183"/>
      <c r="AL213" s="398"/>
      <c r="AM213" s="183"/>
      <c r="AN213" s="183"/>
      <c r="AO213" s="183"/>
      <c r="AP213" s="497"/>
      <c r="AQ213" s="537"/>
      <c r="FM213" s="89"/>
      <c r="FQ213" s="87" t="s">
        <v>162</v>
      </c>
    </row>
    <row r="214" spans="1:181" s="78" customFormat="1" ht="18.75" customHeight="1" x14ac:dyDescent="0.2">
      <c r="A214" s="325"/>
      <c r="B214" s="126" t="s">
        <v>177</v>
      </c>
      <c r="C214" s="325"/>
      <c r="D214" s="441"/>
      <c r="E214" s="441"/>
      <c r="F214" s="500"/>
      <c r="G214" s="325"/>
      <c r="H214" s="325"/>
      <c r="I214" s="435"/>
      <c r="J214" s="435"/>
      <c r="K214" s="435"/>
      <c r="L214" s="435"/>
      <c r="M214" s="435"/>
      <c r="N214" s="435"/>
      <c r="O214" s="606"/>
      <c r="P214" s="435"/>
      <c r="Q214" s="611"/>
      <c r="R214" s="173"/>
      <c r="S214" s="173"/>
      <c r="T214" s="173"/>
      <c r="U214" s="173"/>
      <c r="V214" s="173" t="str">
        <f t="shared" si="75"/>
        <v/>
      </c>
      <c r="W214" s="173"/>
      <c r="X214" s="173"/>
      <c r="Y214" s="173"/>
      <c r="Z214" s="144" t="str">
        <f>IFERROR(IF(AND(S213="Probabilidad",S214="Probabilidad"),(Z213-(+Z213*V214)),IF(S214="Probabilidad",(L213-(+L213*V214)),IF(S214="Impacto",Z213,""))),"")</f>
        <v/>
      </c>
      <c r="AA214" s="607"/>
      <c r="AB214" s="605"/>
      <c r="AC214" s="435"/>
      <c r="AD214" s="605" t="str">
        <f t="shared" si="77"/>
        <v/>
      </c>
      <c r="AE214" s="607"/>
      <c r="AF214" s="605"/>
      <c r="AG214" s="435"/>
      <c r="AH214" s="435"/>
      <c r="AI214" s="435"/>
      <c r="AJ214" s="183"/>
      <c r="AK214" s="183"/>
      <c r="AL214" s="398"/>
      <c r="AM214" s="183"/>
      <c r="AN214" s="183"/>
      <c r="AO214" s="183"/>
      <c r="AP214" s="497"/>
      <c r="AQ214" s="537"/>
      <c r="FM214" s="89"/>
      <c r="FQ214" s="87" t="s">
        <v>257</v>
      </c>
    </row>
    <row r="215" spans="1:181" s="78" customFormat="1" ht="18.75" customHeight="1" x14ac:dyDescent="0.2">
      <c r="A215" s="459"/>
      <c r="B215" s="126" t="s">
        <v>177</v>
      </c>
      <c r="C215" s="459"/>
      <c r="D215" s="458"/>
      <c r="E215" s="458"/>
      <c r="F215" s="501"/>
      <c r="G215" s="459"/>
      <c r="H215" s="459"/>
      <c r="I215" s="436"/>
      <c r="J215" s="436"/>
      <c r="K215" s="436"/>
      <c r="L215" s="436"/>
      <c r="M215" s="436"/>
      <c r="N215" s="436"/>
      <c r="O215" s="608"/>
      <c r="P215" s="436"/>
      <c r="Q215" s="611"/>
      <c r="R215" s="173"/>
      <c r="S215" s="173"/>
      <c r="T215" s="173"/>
      <c r="U215" s="173"/>
      <c r="V215" s="173" t="str">
        <f t="shared" si="75"/>
        <v/>
      </c>
      <c r="W215" s="173"/>
      <c r="X215" s="173"/>
      <c r="Y215" s="173"/>
      <c r="Z215" s="144" t="str">
        <f>IFERROR(IF(AND(S214="Probabilidad",S215="Probabilidad"),(Z214-(+Z214*V215)),IF(S215="Probabilidad",(L214-(+L214*V215)),IF(S215="Impacto",Z214,""))),"")</f>
        <v/>
      </c>
      <c r="AA215" s="609"/>
      <c r="AB215" s="605"/>
      <c r="AC215" s="436"/>
      <c r="AD215" s="605" t="str">
        <f t="shared" si="77"/>
        <v/>
      </c>
      <c r="AE215" s="609"/>
      <c r="AF215" s="605"/>
      <c r="AG215" s="436"/>
      <c r="AH215" s="436"/>
      <c r="AI215" s="436"/>
      <c r="AJ215" s="183"/>
      <c r="AK215" s="183"/>
      <c r="AL215" s="398"/>
      <c r="AM215" s="183"/>
      <c r="AN215" s="183"/>
      <c r="AO215" s="183"/>
      <c r="AP215" s="498"/>
      <c r="AQ215" s="538"/>
      <c r="FM215" s="89"/>
      <c r="FQ215" s="87" t="s">
        <v>170</v>
      </c>
    </row>
    <row r="216" spans="1:181" s="77" customFormat="1" ht="13.5" customHeight="1" x14ac:dyDescent="0.2">
      <c r="A216" s="446">
        <v>39</v>
      </c>
      <c r="B216" s="126" t="s">
        <v>177</v>
      </c>
      <c r="C216" s="444" t="s">
        <v>233</v>
      </c>
      <c r="D216" s="440" t="s">
        <v>479</v>
      </c>
      <c r="E216" s="440" t="s">
        <v>480</v>
      </c>
      <c r="F216" s="444" t="s">
        <v>481</v>
      </c>
      <c r="G216" s="444" t="s">
        <v>149</v>
      </c>
      <c r="H216" s="444" t="s">
        <v>150</v>
      </c>
      <c r="I216" s="434" t="s">
        <v>83</v>
      </c>
      <c r="J216" s="434">
        <v>2</v>
      </c>
      <c r="K216" s="528" t="str">
        <f>IF(AND(J216&lt;=2),"Muy Baja",IF(AND(J216&gt;=3,J216&lt;=23),"Baja",IF(AND(J216&gt;=24,J216&lt;=499),"Media",IF(AND(J216&gt;=500,J216&lt;=4999),"Alta",IF(AND(J216&gt;=5000),"Muy Alta",FALSE)))))</f>
        <v>Muy Baja</v>
      </c>
      <c r="L216" s="528" t="str">
        <f>IF(AND(J216&lt;=2),"20%",IF(AND(J216&gt;=3,J216&lt;=23),"40%",IF(AND(J216&gt;=24,J216&lt;=499),"60%",IF(AND(J216&gt;=500,J216&lt;=4999),"80%",IF(AND(J216&gt;=5000),"100%",FALSE)))))</f>
        <v>20%</v>
      </c>
      <c r="M216" s="434" t="s">
        <v>235</v>
      </c>
      <c r="N216" s="528" t="str">
        <f>IF(AND(M216=$FQ$4),"Leve",IF(AND(M216=$FQ$5),"Menor",IF(AND(M216=$FQ$6),"Moderado",IF(AND(M216=$FQ$7),"mayor",IF(AND(M216=$FQ$8),"Catastrófico",IF(AND(M216=$FQ$10),"Leve",IF(AND(M216=$FQ$11),"Menor",IF(AND(M216=$FQ$12),"Moderado",IF(AND(M216=$FQ$13),"Mayor",IF(AND(M216=$FQ$14),"Catastrófico",FALSE))))))))))</f>
        <v>Catastrófico</v>
      </c>
      <c r="O216" s="613" t="str">
        <f>IF(AND(N216="Leve"),"20%",IF(AND(N216="Menor"),"40%",IF(AND(N216="Moderado"),"60%",IF(AND(N216="Mayor"),"80%",IF(AND(N216="Catastrófico"),"100%","")))))</f>
        <v>100%</v>
      </c>
      <c r="P216" s="528" t="str">
        <f>IF(AND(L216&lt;="40%",O216="20%"),"Bajo",IF(AND(L216="60%",O216="20%"),"Moderado",IF(AND(L216="80%",O216="20%"),"Moderado",IF(AND(L216="100%",O216="20%"),"Alto",IF(AND(L216="20%",O216="40%"),"Bajo",IF(AND(L216="40%",O216="40%"),"Moderado",IF(AND(L216="60%",O216="40%"),"Moderado",IF(AND(L216="80%",O216="40%"),"Moderado",IF(AND(L216="100%",O216="40%"),"Alto",IF(AND(L216="20%",O216="60%"),"Moderado",IF(AND(L216="40%",O216="60%"),"Moderado",IF(AND(L216="60%",O216="60%"),"Moderado",IF(AND(L216="80%",O216="60%"),"Alto",IF(AND(L216="100%",O216="60%"),"Alto",IF(AND(L216="20%",O216="80%"),"Alto",IF(AND(L216="40%",O216="80%"),"Alto",IF(AND(L216="60%",O216="80%"),"Alto",IF(AND(L216="80%",O216="80%"),"Alto",IF(AND(L216="100%",O216="80%"),"Alto",IF(AND(L216="20%",O216="100%"),"Extremo",IF(AND(L216="40%",O216="100%"),"Extremo",IF(AND(L216="60%",O216="100%"),"Extremo",IF(AND(L216="80%",O216="100%"),"Moderado",IF(AND(L216="100%",O216="100%"),"Extremo",""""))))))))))))))))))))))))</f>
        <v>Extremo</v>
      </c>
      <c r="Q216" s="386">
        <v>1</v>
      </c>
      <c r="R216" s="179" t="s">
        <v>823</v>
      </c>
      <c r="S216" s="173" t="s">
        <v>237</v>
      </c>
      <c r="T216" s="173" t="s">
        <v>152</v>
      </c>
      <c r="U216" s="173" t="s">
        <v>153</v>
      </c>
      <c r="V216" s="179" t="str">
        <f>IF(AND(T216=$FS$2,U216=$FT$2),"50%",IF(AND(T216=$FS$2,U216=$FT$3),"40%",IF(AND(T216=$FS$3,U216=$FT$2),"40%",IF(AND(T216=$FS$3,U216=$FT$3),"30%",IF(AND(T216=$FS$4,U216=$FT$2),"35%",IF(AND(T216=$FS$4,U216=$FT$3),"25%",""))))))</f>
        <v>40%</v>
      </c>
      <c r="W216" s="173" t="s">
        <v>154</v>
      </c>
      <c r="X216" s="173" t="s">
        <v>155</v>
      </c>
      <c r="Y216" s="173" t="s">
        <v>156</v>
      </c>
      <c r="Z216" s="144">
        <f>IFERROR(IF(S216="Probabilidad",(L216-(+L216*V216)),IF(S216="Impacto",L216,"")),"")</f>
        <v>0.12</v>
      </c>
      <c r="AA216" s="614">
        <f>LOOKUP(2,1/(Z216:Z221&lt;&gt;""),Z216:Z221)</f>
        <v>8.3999999999999991E-2</v>
      </c>
      <c r="AB216" s="615"/>
      <c r="AC216" s="528" t="str">
        <f>IF(AND(AA216&lt;=20%),"Muy Baja",IF(AND(AA216&gt;=21%,AA216&lt;=40%),"Baja",IF(AND(AA216&gt;=41%,AA216&lt;=60%),"Media",IF(AND(AA216&gt;=61%,AA216&lt;=80%),"Alta",IF(AND(AA216&gt;=81%,AA216&gt;=100%),"Muy Alta",FALSE)))))</f>
        <v>Muy Baja</v>
      </c>
      <c r="AD216" s="615" t="str">
        <f>IFERROR(IF(S216="Impacto",(O216-(+O216*V216)),IF(S216="Probabilidad",O216,"")),"")</f>
        <v>100%</v>
      </c>
      <c r="AE216" s="614" t="str">
        <f>LOOKUP(2,1/(AD216:AD221&lt;&gt;""),AD216:AD221)</f>
        <v>100%</v>
      </c>
      <c r="AF216" s="615"/>
      <c r="AG216" s="528" t="str">
        <f>IF(AND(AE216&lt;=20%),"Leve",IF(AND(AE216&gt;=21%,AE216&lt;=40%),"Menor",IF(AND(AE216&gt;=41%,AE216&lt;=60%),"Moderado",IF(AND(AE216&gt;=61%,AE216&lt;=80%),"Mayor",IF(AND(AE216&gt;=81%,AE216&gt;=100%),"Catastrófico",FALSE)))))</f>
        <v>Catastrófico</v>
      </c>
      <c r="AH216" s="528" t="str">
        <f>IF(OR(AND(AC216="Media",AG216="Leve"),AND(AC216="Alta",AG216="Leve"),AND(AC216="Alta",AG216="Menor"),AND(AC216="Media",AG216="Menor"),AND(AC216="Baja",AG216="Menor"),AND(AC216="Media",AG216="Moderado"),AND(AC216="Baja",AG216="Moderado"),AND(AC216="Muy Baja",AG216="Moderado")),"Moderado",IF(OR(AND(AC216="Baja",AG216="Leve"),AND(AC216="Muy Baja",AG216="Leve"),AND(AC216="Muy Baja",AG216="Menor")),"Bajo",IF(OR(AND(AC216="Muy Alta",AG216="Leve"),AND(AC216="Muy Alta",AG216="Menor"),AND(AC216="Muy Alta",AG216="Moderado"),AND(AC216="Alta",AG216="Moderado"),AND(AC216="Muy Alta",AG216="Mayor"),AND(AC216="Alta",AG216="Mayor"),AND(AC216="Media",AG216="Mayor"),AND(AC216="Baja",AG216="Mayor"),AND(AC216="Muy Baja",AG216="Mayor")),"Alto",IF(OR(AND(AC216="Alta",AG216="Catastrófico"),AND(AC216="Muy Alta",AG216="Catastrófico"),AND(AC216="Media",AG216="Catastrófico"),AND(AC216="Baja",AG216="Catastrófico"),AND(AC216="Muy Baja",AG216="Catastrófico")),"Extremo",IF(AG216="Catastrófico","Extremo")))))</f>
        <v>Extremo</v>
      </c>
      <c r="AI216" s="434" t="s">
        <v>77</v>
      </c>
      <c r="AJ216" s="188"/>
      <c r="AK216" s="183"/>
      <c r="AL216" s="399"/>
      <c r="AM216" s="399"/>
      <c r="AN216" s="92"/>
      <c r="AO216" s="183"/>
      <c r="AP216" s="496" t="s">
        <v>482</v>
      </c>
      <c r="AQ216" s="539" t="s">
        <v>113</v>
      </c>
      <c r="FM216" s="96"/>
      <c r="FP216" s="78"/>
      <c r="FQ216" s="80"/>
      <c r="FR216" s="78"/>
      <c r="FS216" s="78"/>
      <c r="FT216" s="78"/>
      <c r="FU216" s="78"/>
      <c r="FV216" s="78"/>
      <c r="FW216" s="78"/>
      <c r="FX216" s="78"/>
      <c r="FY216" s="78"/>
    </row>
    <row r="217" spans="1:181" s="77" customFormat="1" ht="13.5" customHeight="1" x14ac:dyDescent="0.2">
      <c r="A217" s="447"/>
      <c r="B217" s="126" t="s">
        <v>177</v>
      </c>
      <c r="C217" s="325"/>
      <c r="D217" s="441"/>
      <c r="E217" s="441"/>
      <c r="F217" s="325"/>
      <c r="G217" s="325"/>
      <c r="H217" s="325"/>
      <c r="I217" s="435"/>
      <c r="J217" s="435"/>
      <c r="K217" s="522"/>
      <c r="L217" s="522"/>
      <c r="M217" s="435"/>
      <c r="N217" s="522"/>
      <c r="O217" s="616"/>
      <c r="P217" s="522"/>
      <c r="Q217" s="386">
        <v>2</v>
      </c>
      <c r="R217" s="173" t="s">
        <v>824</v>
      </c>
      <c r="S217" s="173" t="s">
        <v>237</v>
      </c>
      <c r="T217" s="173" t="s">
        <v>202</v>
      </c>
      <c r="U217" s="173" t="s">
        <v>153</v>
      </c>
      <c r="V217" s="179" t="str">
        <f t="shared" ref="V217:V221" si="78">IF(AND(T217=$FS$2,U217=$FT$2),"50%",IF(AND(T217=$FS$2,U217=$FT$3),"40%",IF(AND(T217=$FS$3,U217=$FT$2),"40%",IF(AND(T217=$FS$3,U217=$FT$3),"30%",IF(AND(T217=$FS$4,U217=$FT$2),"35%",IF(AND(T217=$FS$4,U217=$FT$3),"25%",""))))))</f>
        <v>30%</v>
      </c>
      <c r="W217" s="173" t="s">
        <v>154</v>
      </c>
      <c r="X217" s="173" t="s">
        <v>155</v>
      </c>
      <c r="Y217" s="173" t="s">
        <v>156</v>
      </c>
      <c r="Z217" s="144">
        <f>IFERROR(IF(AND(S216="Probabilidad",S217="Probabilidad"),(Z216-(+Z216*V217)),IF(S217="Probabilidad",(L216-(+L216*V217)),IF(S217="Impacto",Z216,""))),"")</f>
        <v>8.3999999999999991E-2</v>
      </c>
      <c r="AA217" s="617"/>
      <c r="AB217" s="615"/>
      <c r="AC217" s="522"/>
      <c r="AD217" s="615" t="str">
        <f>IFERROR(IF(AND(S216="Impacto",V217="Impacto"),(AD216-(+AD216*V217)),IF(S217="Impacto",(O216-(+O216*V217)),IF(S217="Probabilidad",AD216,""))),"")</f>
        <v>100%</v>
      </c>
      <c r="AE217" s="617"/>
      <c r="AF217" s="615"/>
      <c r="AG217" s="522"/>
      <c r="AH217" s="522"/>
      <c r="AI217" s="435"/>
      <c r="AJ217" s="188"/>
      <c r="AK217" s="400"/>
      <c r="AL217" s="399"/>
      <c r="AM217" s="399"/>
      <c r="AN217" s="92"/>
      <c r="AO217" s="400"/>
      <c r="AP217" s="497"/>
      <c r="AQ217" s="537"/>
      <c r="FM217" s="96"/>
      <c r="FP217" s="78"/>
      <c r="FQ217" s="78"/>
      <c r="FR217" s="78"/>
      <c r="FS217" s="78"/>
      <c r="FX217" s="78"/>
    </row>
    <row r="218" spans="1:181" s="77" customFormat="1" ht="13.5" customHeight="1" x14ac:dyDescent="0.25">
      <c r="A218" s="447"/>
      <c r="B218" s="126" t="s">
        <v>177</v>
      </c>
      <c r="C218" s="325"/>
      <c r="D218" s="441"/>
      <c r="E218" s="441"/>
      <c r="F218" s="325"/>
      <c r="G218" s="325"/>
      <c r="H218" s="325"/>
      <c r="I218" s="435"/>
      <c r="J218" s="435"/>
      <c r="K218" s="522"/>
      <c r="L218" s="522"/>
      <c r="M218" s="435"/>
      <c r="N218" s="522"/>
      <c r="O218" s="616"/>
      <c r="P218" s="522"/>
      <c r="Q218" s="386"/>
      <c r="R218" s="179"/>
      <c r="S218" s="173"/>
      <c r="T218" s="173"/>
      <c r="U218" s="173"/>
      <c r="V218" s="179" t="str">
        <f t="shared" si="78"/>
        <v/>
      </c>
      <c r="W218" s="173"/>
      <c r="X218" s="173"/>
      <c r="Y218" s="173"/>
      <c r="Z218" s="144" t="str">
        <f>IFERROR(IF(AND(S217="Probabilidad",S218="Probabilidad"),(Z217-(+Z217*V218)),IF(S218="Probabilidad",(L217-(+L217*V218)),IF(S218="Impacto",Z217,""))),"")</f>
        <v/>
      </c>
      <c r="AA218" s="617"/>
      <c r="AB218" s="615"/>
      <c r="AC218" s="522"/>
      <c r="AD218" s="615" t="str">
        <f t="shared" ref="AD218:AD221" si="79">IFERROR(IF(AND(S217="Impacto",V218="Impacto"),(AD217-(+AD217*V218)),IF(S218="Impacto",(O217-(+O217*V218)),IF(S218="Probabilidad",AD217,""))),"")</f>
        <v/>
      </c>
      <c r="AE218" s="617"/>
      <c r="AF218" s="615"/>
      <c r="AG218" s="522"/>
      <c r="AH218" s="522"/>
      <c r="AI218" s="435"/>
      <c r="AJ218" s="188"/>
      <c r="AK218" s="400"/>
      <c r="AL218" s="399"/>
      <c r="AM218" s="399"/>
      <c r="AN218" s="188"/>
      <c r="AO218" s="400"/>
      <c r="AP218" s="497"/>
      <c r="AQ218" s="537"/>
      <c r="FM218" s="96"/>
      <c r="FP218" s="78"/>
      <c r="FQ218" s="78"/>
      <c r="FX218" s="78"/>
    </row>
    <row r="219" spans="1:181" s="77" customFormat="1" ht="13.5" customHeight="1" x14ac:dyDescent="0.25">
      <c r="A219" s="447"/>
      <c r="B219" s="126" t="s">
        <v>177</v>
      </c>
      <c r="C219" s="325"/>
      <c r="D219" s="441"/>
      <c r="E219" s="441"/>
      <c r="F219" s="325"/>
      <c r="G219" s="325"/>
      <c r="H219" s="325"/>
      <c r="I219" s="435"/>
      <c r="J219" s="435"/>
      <c r="K219" s="522"/>
      <c r="L219" s="522"/>
      <c r="M219" s="435"/>
      <c r="N219" s="522"/>
      <c r="O219" s="616"/>
      <c r="P219" s="522"/>
      <c r="Q219" s="386"/>
      <c r="R219" s="179"/>
      <c r="S219" s="173"/>
      <c r="T219" s="173"/>
      <c r="U219" s="173"/>
      <c r="V219" s="179" t="str">
        <f t="shared" si="78"/>
        <v/>
      </c>
      <c r="W219" s="173"/>
      <c r="X219" s="173"/>
      <c r="Y219" s="173"/>
      <c r="Z219" s="144" t="str">
        <f>IFERROR(IF(AND(S218="Probabilidad",S219="Probabilidad"),(Z218-(+Z218*V219)),IF(S219="Probabilidad",(L218-(+L218*V219)),IF(S219="Impacto",Z218,""))),"")</f>
        <v/>
      </c>
      <c r="AA219" s="617"/>
      <c r="AB219" s="615"/>
      <c r="AC219" s="522"/>
      <c r="AD219" s="615" t="str">
        <f t="shared" si="79"/>
        <v/>
      </c>
      <c r="AE219" s="617"/>
      <c r="AF219" s="615"/>
      <c r="AG219" s="522"/>
      <c r="AH219" s="522"/>
      <c r="AI219" s="435"/>
      <c r="AJ219" s="188"/>
      <c r="AK219" s="400"/>
      <c r="AL219" s="399"/>
      <c r="AM219" s="399"/>
      <c r="AN219" s="188"/>
      <c r="AO219" s="400"/>
      <c r="AP219" s="497"/>
      <c r="AQ219" s="537"/>
      <c r="FM219" s="96"/>
      <c r="FP219" s="78"/>
      <c r="FQ219" s="78"/>
      <c r="FT219" s="78"/>
    </row>
    <row r="220" spans="1:181" s="77" customFormat="1" ht="13.5" customHeight="1" x14ac:dyDescent="0.25">
      <c r="A220" s="447"/>
      <c r="B220" s="126" t="s">
        <v>177</v>
      </c>
      <c r="C220" s="325"/>
      <c r="D220" s="441"/>
      <c r="E220" s="441"/>
      <c r="F220" s="325"/>
      <c r="G220" s="325"/>
      <c r="H220" s="325"/>
      <c r="I220" s="435"/>
      <c r="J220" s="435"/>
      <c r="K220" s="522"/>
      <c r="L220" s="522"/>
      <c r="M220" s="435"/>
      <c r="N220" s="522"/>
      <c r="O220" s="616"/>
      <c r="P220" s="522"/>
      <c r="Q220" s="386"/>
      <c r="R220" s="179"/>
      <c r="S220" s="173"/>
      <c r="T220" s="173"/>
      <c r="U220" s="173"/>
      <c r="V220" s="179" t="str">
        <f t="shared" si="78"/>
        <v/>
      </c>
      <c r="W220" s="173"/>
      <c r="X220" s="173"/>
      <c r="Y220" s="173"/>
      <c r="Z220" s="144" t="str">
        <f>IFERROR(IF(AND(S219="Probabilidad",S220="Probabilidad"),(Z219-(+Z219*V220)),IF(S220="Probabilidad",(L219-(+L219*V220)),IF(S220="Impacto",Z219,""))),"")</f>
        <v/>
      </c>
      <c r="AA220" s="617"/>
      <c r="AB220" s="615"/>
      <c r="AC220" s="522"/>
      <c r="AD220" s="615" t="str">
        <f t="shared" si="79"/>
        <v/>
      </c>
      <c r="AE220" s="617"/>
      <c r="AF220" s="615"/>
      <c r="AG220" s="522"/>
      <c r="AH220" s="522"/>
      <c r="AI220" s="435"/>
      <c r="AJ220" s="188"/>
      <c r="AK220" s="400"/>
      <c r="AL220" s="399"/>
      <c r="AM220" s="399"/>
      <c r="AN220" s="188"/>
      <c r="AO220" s="400"/>
      <c r="AP220" s="497"/>
      <c r="AQ220" s="537"/>
      <c r="FM220" s="96"/>
      <c r="FP220" s="78"/>
      <c r="FQ220" s="78"/>
      <c r="FT220" s="78"/>
    </row>
    <row r="221" spans="1:181" s="77" customFormat="1" ht="13.5" customHeight="1" thickBot="1" x14ac:dyDescent="0.3">
      <c r="A221" s="448"/>
      <c r="B221" s="126" t="s">
        <v>177</v>
      </c>
      <c r="C221" s="445"/>
      <c r="D221" s="443"/>
      <c r="E221" s="443"/>
      <c r="F221" s="618"/>
      <c r="G221" s="445"/>
      <c r="H221" s="445"/>
      <c r="I221" s="513"/>
      <c r="J221" s="513"/>
      <c r="K221" s="619"/>
      <c r="L221" s="619"/>
      <c r="M221" s="513"/>
      <c r="N221" s="619"/>
      <c r="O221" s="620"/>
      <c r="P221" s="619"/>
      <c r="Q221" s="386"/>
      <c r="R221" s="179"/>
      <c r="S221" s="173"/>
      <c r="T221" s="173"/>
      <c r="U221" s="173"/>
      <c r="V221" s="179" t="str">
        <f t="shared" si="78"/>
        <v/>
      </c>
      <c r="W221" s="173"/>
      <c r="X221" s="173"/>
      <c r="Y221" s="173"/>
      <c r="Z221" s="144" t="str">
        <f>IFERROR(IF(AND(S220="Probabilidad",S221="Probabilidad"),(Z220-(+Z220*V221)),IF(S221="Probabilidad",(L220-(+L220*V221)),IF(S221="Impacto",Z220,""))),"")</f>
        <v/>
      </c>
      <c r="AA221" s="621"/>
      <c r="AB221" s="615"/>
      <c r="AC221" s="619"/>
      <c r="AD221" s="615" t="str">
        <f t="shared" si="79"/>
        <v/>
      </c>
      <c r="AE221" s="621"/>
      <c r="AF221" s="615"/>
      <c r="AG221" s="619"/>
      <c r="AH221" s="619"/>
      <c r="AI221" s="513"/>
      <c r="AJ221" s="188"/>
      <c r="AK221" s="400"/>
      <c r="AL221" s="399"/>
      <c r="AM221" s="399"/>
      <c r="AN221" s="188"/>
      <c r="AO221" s="400"/>
      <c r="AP221" s="498"/>
      <c r="AQ221" s="538"/>
      <c r="FM221" s="96"/>
      <c r="FP221" s="78"/>
      <c r="FQ221" s="79"/>
      <c r="FR221" s="78"/>
      <c r="FS221" s="78"/>
      <c r="FT221" s="78"/>
      <c r="FV221" s="78"/>
      <c r="FW221" s="78"/>
      <c r="FX221" s="78"/>
      <c r="FY221" s="78"/>
    </row>
    <row r="222" spans="1:181" s="78" customFormat="1" ht="13.5" customHeight="1" x14ac:dyDescent="0.25">
      <c r="A222" s="199">
        <v>41</v>
      </c>
      <c r="B222" s="128" t="s">
        <v>112</v>
      </c>
      <c r="C222" s="199" t="s">
        <v>248</v>
      </c>
      <c r="D222" s="199" t="s">
        <v>490</v>
      </c>
      <c r="E222" s="199" t="s">
        <v>491</v>
      </c>
      <c r="F222" s="464" t="s">
        <v>492</v>
      </c>
      <c r="G222" s="199" t="s">
        <v>265</v>
      </c>
      <c r="H222" s="199" t="s">
        <v>255</v>
      </c>
      <c r="I222" s="199" t="s">
        <v>493</v>
      </c>
      <c r="J222" s="209">
        <v>600</v>
      </c>
      <c r="K222" s="496" t="str">
        <f>IF(AND(J222&lt;=2),"Muy Baja",IF(AND(J222&gt;=3,J222&lt;=23),"Baja",IF(AND(J222&gt;=24,J222&lt;=499),"Media",IF(AND(J222&gt;=500,J222&lt;=4999),"Alta",IF(AND(J222&gt;=5000),"Muy Alta",FALSE)))))</f>
        <v>Alta</v>
      </c>
      <c r="L222" s="496" t="str">
        <f>IF(AND(J222&lt;=2),"20%",IF(AND(J222&gt;=3,J222&lt;=23),"40%",IF(AND(J222&gt;=24,J222&lt;=499),"60%",IF(AND(J222&gt;=500,J222&lt;=4999),"80%",IF(AND(J222&gt;=5000),"100%",FALSE)))))</f>
        <v>80%</v>
      </c>
      <c r="M222" s="496" t="s">
        <v>158</v>
      </c>
      <c r="N222" s="496" t="str">
        <f>IF(AND(M222=$FQ$4),"Leve",IF(AND(M222=$FQ$5),"Menor",IF(AND(M222=$FQ$6),"Moderado",IF(AND(M222=$FQ$7),"mayor",IF(AND(M222=$FQ$8),"Catastrófico",IF(AND(M222=$FQ$10),"Leve",IF(AND(M222=$FQ$11),"Menor",IF(AND(M222=$FQ$12),"Moderado",IF(AND(M222=$FQ$13),"Mayor",IF(AND(M222=$FQ$14),"Catastrófico",FALSE))))))))))</f>
        <v>Leve</v>
      </c>
      <c r="O222" s="509" t="str">
        <f>IF(AND(N222="Leve"),"20%",IF(AND(N222="Menor"),"40%",IF(AND(N222="Moderado"),"60%",IF(AND(N222="Mayor"),"80%",IF(AND(N222="Catastrófico"),"100%","")))))</f>
        <v>20%</v>
      </c>
      <c r="P222" s="496" t="str">
        <f>INDEX('[6]MATRIZ RIESGO'!$D$6:$H$10,MATCH(K222,'[6]MATRIZ RIESGO'!$C$6:$C$10,),MATCH(N222,'[6]MATRIZ RIESGO'!$D$5:$H$5,))</f>
        <v>Moderado</v>
      </c>
      <c r="Q222" s="130">
        <v>1</v>
      </c>
      <c r="R222" s="130" t="s">
        <v>494</v>
      </c>
      <c r="S222" s="178" t="s">
        <v>237</v>
      </c>
      <c r="T222" s="178" t="s">
        <v>152</v>
      </c>
      <c r="U222" s="178" t="s">
        <v>153</v>
      </c>
      <c r="V222" s="178" t="str">
        <f>IF(AND(T222=$FS$2,U222=$FT$2),"50%",IF(AND(T222=$FS$2,U222=$FT$3),"40%",IF(AND(T222=$FS$3,U222=$FT$2),"40%",IF(AND(T222=$FS$3,U222=$FT$3),"30%",IF(AND(T222=$FS$4,U222=$FT$2),"35%",IF(AND(T222=$FS$4,U222=$FT$3),"25%",""))))))</f>
        <v>40%</v>
      </c>
      <c r="W222" s="178" t="s">
        <v>161</v>
      </c>
      <c r="X222" s="178" t="s">
        <v>155</v>
      </c>
      <c r="Y222" s="178" t="s">
        <v>165</v>
      </c>
      <c r="Z222" s="131">
        <f>IFERROR(IF(S222="Probabilidad",(L222-(+L222*V222)),IF(S222="Impacto",L222,"")),"")</f>
        <v>0.48</v>
      </c>
      <c r="AA222" s="218">
        <f>LOOKUP(2,1/(Z222:Z227&lt;&gt;""),Z222:Z227)</f>
        <v>0.48</v>
      </c>
      <c r="AB222" s="218">
        <f t="shared" ref="AB222" si="80">AA222*1</f>
        <v>0.48</v>
      </c>
      <c r="AC222" s="496" t="str">
        <f t="shared" ref="AC222" si="81">IF(AND(AB222&lt;=20%),"Muy Baja",IF(AND(AB222&gt;=21%,AB222&lt;=40%),"Baja",IF(AND(AB222&gt;=41%,AB222&lt;=60%),"Media",IF(AND(AB222&gt;=61%,AB222&lt;=80%),"Alta",IF(AND(AB222&gt;=81%,AB222&gt;=100%),"Muy Alta",FALSE)))))</f>
        <v>Media</v>
      </c>
      <c r="AD222" s="182" t="str">
        <f>IFERROR(IF(S222="Impacto",(O222-(+O222*V222)),IF(S222="Probabilidad",O222,"")),"")</f>
        <v>20%</v>
      </c>
      <c r="AE222" s="218" t="str">
        <f>LOOKUP(2,1/(AD222:AD227&lt;&gt;""),AD222:AD227)</f>
        <v>20%</v>
      </c>
      <c r="AF222" s="218">
        <f>AE222*1</f>
        <v>0.2</v>
      </c>
      <c r="AG222" s="496" t="str">
        <f t="shared" ref="AG222" si="82">CHOOSE((AF222&gt;=0%)+(AF222&gt;=21%)+(AF222&gt;=41%)+(AF222&gt;=61%)+(AF222&gt;=81%),"Leve","Menor","Moderado","Mayor","Catastrófico")</f>
        <v>Leve</v>
      </c>
      <c r="AH222" s="496" t="str">
        <f>INDEX('[6]MATRIZ RIESGO'!$D$6:$H$10,MATCH(AC222,'[6]MATRIZ RIESGO'!$C$6:$C$10,),MATCH(AG222,'[6]MATRIZ RIESGO'!$D$5:$H$5,))</f>
        <v>Moderado</v>
      </c>
      <c r="AI222" s="496" t="s">
        <v>91</v>
      </c>
      <c r="AJ222" s="178"/>
      <c r="AK222" s="178"/>
      <c r="AL222" s="152"/>
      <c r="AM222" s="178"/>
      <c r="AN222" s="178"/>
      <c r="AO222" s="178"/>
      <c r="AP222" s="496" t="s">
        <v>495</v>
      </c>
      <c r="AQ222" s="539" t="s">
        <v>113</v>
      </c>
      <c r="FM222" s="89"/>
      <c r="FQ222" s="80"/>
    </row>
    <row r="223" spans="1:181" s="78" customFormat="1" ht="13.5" customHeight="1" x14ac:dyDescent="0.25">
      <c r="A223" s="200"/>
      <c r="B223" s="128" t="s">
        <v>112</v>
      </c>
      <c r="C223" s="200"/>
      <c r="D223" s="200"/>
      <c r="E223" s="200"/>
      <c r="F223" s="465"/>
      <c r="G223" s="200"/>
      <c r="H223" s="200"/>
      <c r="I223" s="200"/>
      <c r="J223" s="210"/>
      <c r="K223" s="497"/>
      <c r="L223" s="497"/>
      <c r="M223" s="497"/>
      <c r="N223" s="497"/>
      <c r="O223" s="510"/>
      <c r="P223" s="497"/>
      <c r="Q223" s="130"/>
      <c r="R223" s="130"/>
      <c r="S223" s="178"/>
      <c r="T223" s="178"/>
      <c r="U223" s="178"/>
      <c r="V223" s="178" t="str">
        <f t="shared" ref="V223:V227" si="83">IF(AND(T223=$FS$2,U223=$FT$2),"50%",IF(AND(T223=$FS$2,U223=$FT$3),"40%",IF(AND(T223=$FS$3,U223=$FT$2),"40%",IF(AND(T223=$FS$3,U223=$FT$3),"30%",IF(AND(T223=$FS$4,U223=$FT$2),"35%",IF(AND(T223=$FS$4,U223=$FT$3),"25%",""))))))</f>
        <v/>
      </c>
      <c r="W223" s="178"/>
      <c r="X223" s="178"/>
      <c r="Y223" s="178"/>
      <c r="Z223" s="131" t="str">
        <f>IFERROR(IF(AND(S222="Probabilidad",S223="Probabilidad"),(Z222-(+Z222*V223)),IF(S223="Probabilidad",(L222-(+L222*V223)),IF(S223="Impacto",Z222,""))),"")</f>
        <v/>
      </c>
      <c r="AA223" s="219"/>
      <c r="AB223" s="219"/>
      <c r="AC223" s="497"/>
      <c r="AD223" s="182" t="str">
        <f>IFERROR(IF(AND(S222="Impacto",V223="Impacto"),(AD222-(+AD222*V223)),IF(S223="Impacto",(O222-(+O222*V223)),IF(S223="Probabilidad",AD222,""))),"")</f>
        <v/>
      </c>
      <c r="AE223" s="219"/>
      <c r="AF223" s="219"/>
      <c r="AG223" s="497"/>
      <c r="AH223" s="497"/>
      <c r="AI223" s="497"/>
      <c r="AJ223" s="178"/>
      <c r="AK223" s="178"/>
      <c r="AL223" s="152"/>
      <c r="AM223" s="178"/>
      <c r="AN223" s="178"/>
      <c r="AO223" s="178"/>
      <c r="AP223" s="497"/>
      <c r="AQ223" s="537"/>
      <c r="FM223" s="89"/>
    </row>
    <row r="224" spans="1:181" s="78" customFormat="1" ht="13.5" customHeight="1" x14ac:dyDescent="0.25">
      <c r="A224" s="200"/>
      <c r="B224" s="128" t="s">
        <v>112</v>
      </c>
      <c r="C224" s="200"/>
      <c r="D224" s="200"/>
      <c r="E224" s="200"/>
      <c r="F224" s="465"/>
      <c r="G224" s="200"/>
      <c r="H224" s="200"/>
      <c r="I224" s="200"/>
      <c r="J224" s="210"/>
      <c r="K224" s="497"/>
      <c r="L224" s="497"/>
      <c r="M224" s="497"/>
      <c r="N224" s="497"/>
      <c r="O224" s="510"/>
      <c r="P224" s="497"/>
      <c r="Q224" s="130"/>
      <c r="R224" s="130"/>
      <c r="S224" s="178"/>
      <c r="T224" s="178"/>
      <c r="U224" s="178"/>
      <c r="V224" s="178" t="str">
        <f t="shared" si="83"/>
        <v/>
      </c>
      <c r="W224" s="178"/>
      <c r="X224" s="178"/>
      <c r="Y224" s="178"/>
      <c r="Z224" s="131" t="str">
        <f>IFERROR(IF(AND(S223="Probabilidad",S224="Probabilidad"),(Z223-(+Z223*V224)),IF(S224="Probabilidad",(L223-(+L223*V224)),IF(S224="Impacto",Z223,""))),"")</f>
        <v/>
      </c>
      <c r="AA224" s="219"/>
      <c r="AB224" s="219"/>
      <c r="AC224" s="497"/>
      <c r="AD224" s="182" t="str">
        <f t="shared" ref="AD224:AD227" si="84">IFERROR(IF(AND(S223="Impacto",V224="Impacto"),(AD223-(+AD223*V224)),IF(S224="Impacto",(O223-(+O223*V224)),IF(S224="Probabilidad",AD223,""))),"")</f>
        <v/>
      </c>
      <c r="AE224" s="219"/>
      <c r="AF224" s="219"/>
      <c r="AG224" s="497"/>
      <c r="AH224" s="497"/>
      <c r="AI224" s="497"/>
      <c r="AJ224" s="178"/>
      <c r="AK224" s="178"/>
      <c r="AL224" s="152"/>
      <c r="AM224" s="178"/>
      <c r="AN224" s="178"/>
      <c r="AO224" s="178"/>
      <c r="AP224" s="497"/>
      <c r="AQ224" s="537"/>
      <c r="FM224" s="89"/>
    </row>
    <row r="225" spans="1:173" s="78" customFormat="1" ht="13.5" customHeight="1" x14ac:dyDescent="0.25">
      <c r="A225" s="200"/>
      <c r="B225" s="128" t="s">
        <v>112</v>
      </c>
      <c r="C225" s="200"/>
      <c r="D225" s="200"/>
      <c r="E225" s="200"/>
      <c r="F225" s="465"/>
      <c r="G225" s="200"/>
      <c r="H225" s="200"/>
      <c r="I225" s="200"/>
      <c r="J225" s="210"/>
      <c r="K225" s="497"/>
      <c r="L225" s="497"/>
      <c r="M225" s="497"/>
      <c r="N225" s="497"/>
      <c r="O225" s="510"/>
      <c r="P225" s="497"/>
      <c r="Q225" s="130"/>
      <c r="R225" s="130"/>
      <c r="S225" s="178"/>
      <c r="T225" s="178"/>
      <c r="U225" s="178"/>
      <c r="V225" s="178" t="str">
        <f t="shared" si="83"/>
        <v/>
      </c>
      <c r="W225" s="178"/>
      <c r="X225" s="178"/>
      <c r="Y225" s="178"/>
      <c r="Z225" s="131" t="str">
        <f>IFERROR(IF(AND(S224="Probabilidad",S225="Probabilidad"),(Z224-(+Z224*V225)),IF(S225="Probabilidad",(L224-(+L224*V225)),IF(S225="Impacto",Z224,""))),"")</f>
        <v/>
      </c>
      <c r="AA225" s="219"/>
      <c r="AB225" s="219"/>
      <c r="AC225" s="497"/>
      <c r="AD225" s="182" t="str">
        <f t="shared" si="84"/>
        <v/>
      </c>
      <c r="AE225" s="219"/>
      <c r="AF225" s="219"/>
      <c r="AG225" s="497"/>
      <c r="AH225" s="497"/>
      <c r="AI225" s="497"/>
      <c r="AJ225" s="178"/>
      <c r="AK225" s="178"/>
      <c r="AL225" s="152"/>
      <c r="AM225" s="178"/>
      <c r="AN225" s="178"/>
      <c r="AO225" s="178"/>
      <c r="AP225" s="497"/>
      <c r="AQ225" s="537"/>
      <c r="FM225" s="89"/>
    </row>
    <row r="226" spans="1:173" s="78" customFormat="1" ht="13.5" customHeight="1" x14ac:dyDescent="0.25">
      <c r="A226" s="200"/>
      <c r="B226" s="128" t="s">
        <v>112</v>
      </c>
      <c r="C226" s="200"/>
      <c r="D226" s="200"/>
      <c r="E226" s="200"/>
      <c r="F226" s="465"/>
      <c r="G226" s="200"/>
      <c r="H226" s="200"/>
      <c r="I226" s="200"/>
      <c r="J226" s="210"/>
      <c r="K226" s="497"/>
      <c r="L226" s="497"/>
      <c r="M226" s="497"/>
      <c r="N226" s="497"/>
      <c r="O226" s="510"/>
      <c r="P226" s="497"/>
      <c r="Q226" s="130"/>
      <c r="R226" s="130"/>
      <c r="S226" s="178"/>
      <c r="T226" s="178"/>
      <c r="U226" s="178"/>
      <c r="V226" s="178" t="str">
        <f t="shared" si="83"/>
        <v/>
      </c>
      <c r="W226" s="178"/>
      <c r="X226" s="178"/>
      <c r="Y226" s="178"/>
      <c r="Z226" s="131" t="str">
        <f>IFERROR(IF(AND(S225="Probabilidad",S226="Probabilidad"),(Z225-(+Z225*V226)),IF(S226="Probabilidad",(L225-(+L225*V226)),IF(S226="Impacto",Z225,""))),"")</f>
        <v/>
      </c>
      <c r="AA226" s="219"/>
      <c r="AB226" s="219"/>
      <c r="AC226" s="497"/>
      <c r="AD226" s="182" t="str">
        <f t="shared" si="84"/>
        <v/>
      </c>
      <c r="AE226" s="219"/>
      <c r="AF226" s="219"/>
      <c r="AG226" s="497"/>
      <c r="AH226" s="497"/>
      <c r="AI226" s="497"/>
      <c r="AJ226" s="178"/>
      <c r="AK226" s="178"/>
      <c r="AL226" s="152"/>
      <c r="AM226" s="178"/>
      <c r="AN226" s="178"/>
      <c r="AO226" s="178"/>
      <c r="AP226" s="497"/>
      <c r="AQ226" s="537"/>
      <c r="FM226" s="89"/>
    </row>
    <row r="227" spans="1:173" s="78" customFormat="1" ht="13.5" customHeight="1" thickBot="1" x14ac:dyDescent="0.3">
      <c r="A227" s="201"/>
      <c r="B227" s="128" t="s">
        <v>112</v>
      </c>
      <c r="C227" s="201"/>
      <c r="D227" s="201"/>
      <c r="E227" s="201"/>
      <c r="F227" s="466"/>
      <c r="G227" s="201"/>
      <c r="H227" s="201"/>
      <c r="I227" s="201"/>
      <c r="J227" s="211"/>
      <c r="K227" s="498"/>
      <c r="L227" s="498"/>
      <c r="M227" s="498"/>
      <c r="N227" s="498"/>
      <c r="O227" s="511"/>
      <c r="P227" s="498"/>
      <c r="Q227" s="130"/>
      <c r="R227" s="130"/>
      <c r="S227" s="178"/>
      <c r="T227" s="178"/>
      <c r="U227" s="178"/>
      <c r="V227" s="178" t="str">
        <f t="shared" si="83"/>
        <v/>
      </c>
      <c r="W227" s="178"/>
      <c r="X227" s="178"/>
      <c r="Y227" s="178"/>
      <c r="Z227" s="131" t="str">
        <f>IFERROR(IF(AND(S226="Probabilidad",S227="Probabilidad"),(Z226-(+Z226*V227)),IF(S227="Probabilidad",(L226-(+L226*V227)),IF(S227="Impacto",Z226,""))),"")</f>
        <v/>
      </c>
      <c r="AA227" s="220"/>
      <c r="AB227" s="220"/>
      <c r="AC227" s="498"/>
      <c r="AD227" s="182" t="str">
        <f t="shared" si="84"/>
        <v/>
      </c>
      <c r="AE227" s="220"/>
      <c r="AF227" s="220"/>
      <c r="AG227" s="498"/>
      <c r="AH227" s="498"/>
      <c r="AI227" s="498"/>
      <c r="AJ227" s="178"/>
      <c r="AK227" s="178"/>
      <c r="AL227" s="152"/>
      <c r="AM227" s="178"/>
      <c r="AN227" s="178"/>
      <c r="AO227" s="178"/>
      <c r="AP227" s="498"/>
      <c r="AQ227" s="538"/>
      <c r="FM227" s="89"/>
      <c r="FQ227" s="79"/>
    </row>
    <row r="228" spans="1:173" s="78" customFormat="1" ht="13.5" customHeight="1" x14ac:dyDescent="0.25">
      <c r="A228" s="199">
        <v>42</v>
      </c>
      <c r="B228" s="128" t="s">
        <v>112</v>
      </c>
      <c r="C228" s="199" t="s">
        <v>248</v>
      </c>
      <c r="D228" s="199" t="s">
        <v>496</v>
      </c>
      <c r="E228" s="199" t="s">
        <v>497</v>
      </c>
      <c r="F228" s="464" t="s">
        <v>498</v>
      </c>
      <c r="G228" s="199" t="s">
        <v>149</v>
      </c>
      <c r="H228" s="199" t="s">
        <v>267</v>
      </c>
      <c r="I228" s="209" t="s">
        <v>83</v>
      </c>
      <c r="J228" s="209">
        <f>(150*11)+300</f>
        <v>1950</v>
      </c>
      <c r="K228" s="496" t="str">
        <f>IF(AND(J228&lt;=2),"Muy Baja",IF(AND(J228&gt;=3,J228&lt;=23),"Baja",IF(AND(J228&gt;=24,J228&lt;=499),"Media",IF(AND(J228&gt;=500,J228&lt;=4999),"Alta",IF(AND(J228&gt;=5000),"Muy Alta",FALSE)))))</f>
        <v>Alta</v>
      </c>
      <c r="L228" s="496" t="str">
        <f>IF(AND(J228&lt;=2),"20%",IF(AND(J228&gt;=3,J228&lt;=23),"40%",IF(AND(J228&gt;=24,J228&lt;=499),"60%",IF(AND(J228&gt;=500,J228&lt;=4999),"80%",IF(AND(J228&gt;=5000),"100%",FALSE)))))</f>
        <v>80%</v>
      </c>
      <c r="M228" s="496" t="s">
        <v>162</v>
      </c>
      <c r="N228" s="496" t="str">
        <f>IF(AND(M228=$FQ$4),"Leve",IF(AND(M228=$FQ$5),"Menor",IF(AND(M228=$FQ$6),"Moderado",IF(AND(M228=$FQ$7),"mayor",IF(AND(M228=$FQ$8),"Catastrófico",IF(AND(M228=$FQ$10),"Leve",IF(AND(M228=$FQ$11),"Menor",IF(AND(M228=$FQ$12),"Moderado",IF(AND(M228=$FQ$13),"Mayor",IF(AND(M228=$FQ$14),"Catastrófico",FALSE))))))))))</f>
        <v>Moderado</v>
      </c>
      <c r="O228" s="509" t="str">
        <f>IF(AND(N228="Leve"),"20%",IF(AND(N228="Menor"),"40%",IF(AND(N228="Moderado"),"60%",IF(AND(N228="Mayor"),"80%",IF(AND(N228="Catastrófico"),"100%","")))))</f>
        <v>60%</v>
      </c>
      <c r="P228" s="496" t="str">
        <f>INDEX('[6]MATRIZ RIESGO'!$D$6:$H$10,MATCH(K228,'[6]MATRIZ RIESGO'!$C$6:$C$10,),MATCH(N228,'[6]MATRIZ RIESGO'!$D$5:$H$5,))</f>
        <v>Alto</v>
      </c>
      <c r="Q228" s="130">
        <v>1</v>
      </c>
      <c r="R228" s="130" t="s">
        <v>499</v>
      </c>
      <c r="S228" s="178" t="s">
        <v>237</v>
      </c>
      <c r="T228" s="178" t="s">
        <v>152</v>
      </c>
      <c r="U228" s="178" t="s">
        <v>171</v>
      </c>
      <c r="V228" s="178" t="str">
        <f>IF(AND(T228=$FS$2,U228=$FT$2),"50%",IF(AND(T228=$FS$2,U228=$FT$3),"40%",IF(AND(T228=$FS$3,U228=$FT$2),"40%",IF(AND(T228=$FS$3,U228=$FT$3),"30%",IF(AND(T228=$FS$4,U228=$FT$2),"35%",IF(AND(T228=$FS$4,U228=$FT$3),"25%",""))))))</f>
        <v>50%</v>
      </c>
      <c r="W228" s="178" t="s">
        <v>154</v>
      </c>
      <c r="X228" s="178" t="s">
        <v>155</v>
      </c>
      <c r="Y228" s="178" t="s">
        <v>156</v>
      </c>
      <c r="Z228" s="131">
        <f>IFERROR(IF(S228="Probabilidad",(L228-(+L228*V228)),IF(S228="Impacto",L228,"")),"")</f>
        <v>0.4</v>
      </c>
      <c r="AA228" s="218">
        <f>LOOKUP(2,1/(Z228:Z233&lt;&gt;""),Z228:Z233)</f>
        <v>1.7999999999999999E-2</v>
      </c>
      <c r="AB228" s="218">
        <f t="shared" ref="AB228" si="85">AA228*1</f>
        <v>1.7999999999999999E-2</v>
      </c>
      <c r="AC228" s="496" t="str">
        <f t="shared" ref="AC228" si="86">IF(AND(AB228&lt;=20%),"Muy Baja",IF(AND(AB228&gt;=21%,AB228&lt;=40%),"Baja",IF(AND(AB228&gt;=41%,AB228&lt;=60%),"Media",IF(AND(AB228&gt;=61%,AB228&lt;=80%),"Alta",IF(AND(AB228&gt;=81%,AB228&gt;=100%),"Muy Alta",FALSE)))))</f>
        <v>Muy Baja</v>
      </c>
      <c r="AD228" s="182" t="str">
        <f>IFERROR(IF(S228="Impacto",(O228-(+O228*V228)),IF(S228="Probabilidad",O228,"")),"")</f>
        <v>60%</v>
      </c>
      <c r="AE228" s="218" t="str">
        <f>LOOKUP(2,1/(AD228:AD233&lt;&gt;""),AD228:AD233)</f>
        <v>60%</v>
      </c>
      <c r="AF228" s="218">
        <f>AE228*1</f>
        <v>0.6</v>
      </c>
      <c r="AG228" s="496" t="str">
        <f t="shared" ref="AG228" si="87">CHOOSE((AF228&gt;=0%)+(AF228&gt;=21%)+(AF228&gt;=41%)+(AF228&gt;=61%)+(AF228&gt;=81%),"Leve","Menor","Moderado","Mayor","Catastrófico")</f>
        <v>Moderado</v>
      </c>
      <c r="AH228" s="496" t="str">
        <f>INDEX('[6]MATRIZ RIESGO'!$D$6:$H$10,MATCH(AC228,'[6]MATRIZ RIESGO'!$C$6:$C$10,),MATCH(AG228,'[6]MATRIZ RIESGO'!$D$5:$H$5,))</f>
        <v>Moderado</v>
      </c>
      <c r="AI228" s="496" t="s">
        <v>111</v>
      </c>
      <c r="AJ228" s="178"/>
      <c r="AK228" s="178"/>
      <c r="AL228" s="152"/>
      <c r="AM228" s="178"/>
      <c r="AN228" s="178"/>
      <c r="AO228" s="178"/>
      <c r="AP228" s="496" t="s">
        <v>500</v>
      </c>
      <c r="AQ228" s="539" t="s">
        <v>113</v>
      </c>
      <c r="FM228" s="89"/>
      <c r="FQ228" s="80"/>
    </row>
    <row r="229" spans="1:173" s="78" customFormat="1" ht="13.5" customHeight="1" x14ac:dyDescent="0.25">
      <c r="A229" s="200"/>
      <c r="B229" s="128" t="s">
        <v>112</v>
      </c>
      <c r="C229" s="200"/>
      <c r="D229" s="200"/>
      <c r="E229" s="200"/>
      <c r="F229" s="465"/>
      <c r="G229" s="200"/>
      <c r="H229" s="200"/>
      <c r="I229" s="210"/>
      <c r="J229" s="210"/>
      <c r="K229" s="497"/>
      <c r="L229" s="497"/>
      <c r="M229" s="497"/>
      <c r="N229" s="497"/>
      <c r="O229" s="510"/>
      <c r="P229" s="497"/>
      <c r="Q229" s="130">
        <v>2</v>
      </c>
      <c r="R229" s="130" t="s">
        <v>501</v>
      </c>
      <c r="S229" s="178" t="s">
        <v>237</v>
      </c>
      <c r="T229" s="178" t="s">
        <v>152</v>
      </c>
      <c r="U229" s="178" t="s">
        <v>171</v>
      </c>
      <c r="V229" s="178" t="str">
        <f t="shared" ref="V229:V233" si="88">IF(AND(T229=$FS$2,U229=$FT$2),"50%",IF(AND(T229=$FS$2,U229=$FT$3),"40%",IF(AND(T229=$FS$3,U229=$FT$2),"40%",IF(AND(T229=$FS$3,U229=$FT$3),"30%",IF(AND(T229=$FS$4,U229=$FT$2),"35%",IF(AND(T229=$FS$4,U229=$FT$3),"25%",""))))))</f>
        <v>50%</v>
      </c>
      <c r="W229" s="178" t="s">
        <v>154</v>
      </c>
      <c r="X229" s="178" t="s">
        <v>155</v>
      </c>
      <c r="Y229" s="178" t="s">
        <v>156</v>
      </c>
      <c r="Z229" s="131">
        <f>IFERROR(IF(AND(S228="Probabilidad",S229="Probabilidad"),(Z228-(+Z228*V229)),IF(S229="Probabilidad",(L228-(+L228*V229)),IF(S229="Impacto",Z228,""))),"")</f>
        <v>0.2</v>
      </c>
      <c r="AA229" s="219"/>
      <c r="AB229" s="219"/>
      <c r="AC229" s="497"/>
      <c r="AD229" s="182" t="str">
        <f>IFERROR(IF(AND(S228="Impacto",V229="Impacto"),(AD228-(+AD228*V229)),IF(S229="Impacto",(O228-(+O228*V229)),IF(S229="Probabilidad",AD228,""))),"")</f>
        <v>60%</v>
      </c>
      <c r="AE229" s="219"/>
      <c r="AF229" s="219"/>
      <c r="AG229" s="497"/>
      <c r="AH229" s="497"/>
      <c r="AI229" s="497"/>
      <c r="AJ229" s="178"/>
      <c r="AK229" s="178"/>
      <c r="AL229" s="152"/>
      <c r="AM229" s="178"/>
      <c r="AN229" s="178"/>
      <c r="AO229" s="178"/>
      <c r="AP229" s="497"/>
      <c r="AQ229" s="537"/>
      <c r="FM229" s="89"/>
    </row>
    <row r="230" spans="1:173" s="78" customFormat="1" ht="13.5" customHeight="1" x14ac:dyDescent="0.25">
      <c r="A230" s="200"/>
      <c r="B230" s="128" t="s">
        <v>112</v>
      </c>
      <c r="C230" s="200"/>
      <c r="D230" s="200"/>
      <c r="E230" s="200"/>
      <c r="F230" s="465"/>
      <c r="G230" s="200"/>
      <c r="H230" s="200"/>
      <c r="I230" s="210"/>
      <c r="J230" s="210"/>
      <c r="K230" s="497"/>
      <c r="L230" s="497"/>
      <c r="M230" s="497"/>
      <c r="N230" s="497"/>
      <c r="O230" s="510"/>
      <c r="P230" s="497"/>
      <c r="Q230" s="130">
        <v>3</v>
      </c>
      <c r="R230" s="130" t="s">
        <v>502</v>
      </c>
      <c r="S230" s="178" t="s">
        <v>237</v>
      </c>
      <c r="T230" s="178" t="s">
        <v>152</v>
      </c>
      <c r="U230" s="178" t="s">
        <v>171</v>
      </c>
      <c r="V230" s="178" t="str">
        <f t="shared" si="88"/>
        <v>50%</v>
      </c>
      <c r="W230" s="178" t="s">
        <v>154</v>
      </c>
      <c r="X230" s="178" t="s">
        <v>155</v>
      </c>
      <c r="Y230" s="178" t="s">
        <v>156</v>
      </c>
      <c r="Z230" s="131">
        <f>IFERROR(IF(AND(S229="Probabilidad",S230="Probabilidad"),(Z229-(+Z229*V230)),IF(S230="Probabilidad",(L229-(+L229*V230)),IF(S230="Impacto",Z229,""))),"")</f>
        <v>0.1</v>
      </c>
      <c r="AA230" s="219"/>
      <c r="AB230" s="219"/>
      <c r="AC230" s="497"/>
      <c r="AD230" s="182" t="str">
        <f t="shared" ref="AD230:AD233" si="89">IFERROR(IF(AND(S229="Impacto",V230="Impacto"),(AD229-(+AD229*V230)),IF(S230="Impacto",(O229-(+O229*V230)),IF(S230="Probabilidad",AD229,""))),"")</f>
        <v>60%</v>
      </c>
      <c r="AE230" s="219"/>
      <c r="AF230" s="219"/>
      <c r="AG230" s="497"/>
      <c r="AH230" s="497"/>
      <c r="AI230" s="497"/>
      <c r="AJ230" s="178"/>
      <c r="AK230" s="178"/>
      <c r="AL230" s="152"/>
      <c r="AM230" s="178"/>
      <c r="AN230" s="178"/>
      <c r="AO230" s="178"/>
      <c r="AP230" s="497"/>
      <c r="AQ230" s="537"/>
      <c r="FM230" s="89"/>
    </row>
    <row r="231" spans="1:173" s="78" customFormat="1" ht="13.5" customHeight="1" x14ac:dyDescent="0.25">
      <c r="A231" s="200"/>
      <c r="B231" s="128" t="s">
        <v>112</v>
      </c>
      <c r="C231" s="200"/>
      <c r="D231" s="200"/>
      <c r="E231" s="200"/>
      <c r="F231" s="465"/>
      <c r="G231" s="200"/>
      <c r="H231" s="200"/>
      <c r="I231" s="210"/>
      <c r="J231" s="210"/>
      <c r="K231" s="497"/>
      <c r="L231" s="497"/>
      <c r="M231" s="497"/>
      <c r="N231" s="497"/>
      <c r="O231" s="510"/>
      <c r="P231" s="497"/>
      <c r="Q231" s="130">
        <v>4</v>
      </c>
      <c r="R231" s="130" t="s">
        <v>503</v>
      </c>
      <c r="S231" s="178" t="s">
        <v>237</v>
      </c>
      <c r="T231" s="178" t="s">
        <v>152</v>
      </c>
      <c r="U231" s="178" t="s">
        <v>171</v>
      </c>
      <c r="V231" s="178" t="str">
        <f t="shared" si="88"/>
        <v>50%</v>
      </c>
      <c r="W231" s="178" t="s">
        <v>154</v>
      </c>
      <c r="X231" s="178" t="s">
        <v>155</v>
      </c>
      <c r="Y231" s="178" t="s">
        <v>156</v>
      </c>
      <c r="Z231" s="131">
        <f>IFERROR(IF(AND(S230="Probabilidad",S231="Probabilidad"),(Z230-(+Z230*V231)),IF(S231="Probabilidad",(L230-(+L230*V231)),IF(S231="Impacto",Z230,""))),"")</f>
        <v>0.05</v>
      </c>
      <c r="AA231" s="219"/>
      <c r="AB231" s="219"/>
      <c r="AC231" s="497"/>
      <c r="AD231" s="182" t="str">
        <f t="shared" si="89"/>
        <v>60%</v>
      </c>
      <c r="AE231" s="219"/>
      <c r="AF231" s="219"/>
      <c r="AG231" s="497"/>
      <c r="AH231" s="497"/>
      <c r="AI231" s="497"/>
      <c r="AJ231" s="178"/>
      <c r="AK231" s="178"/>
      <c r="AL231" s="152"/>
      <c r="AM231" s="178"/>
      <c r="AN231" s="178"/>
      <c r="AO231" s="178"/>
      <c r="AP231" s="497"/>
      <c r="AQ231" s="537"/>
      <c r="FM231" s="89"/>
    </row>
    <row r="232" spans="1:173" s="78" customFormat="1" ht="13.5" customHeight="1" x14ac:dyDescent="0.25">
      <c r="A232" s="200"/>
      <c r="B232" s="128" t="s">
        <v>112</v>
      </c>
      <c r="C232" s="200"/>
      <c r="D232" s="200"/>
      <c r="E232" s="200"/>
      <c r="F232" s="465"/>
      <c r="G232" s="200"/>
      <c r="H232" s="200"/>
      <c r="I232" s="210"/>
      <c r="J232" s="210"/>
      <c r="K232" s="497"/>
      <c r="L232" s="497"/>
      <c r="M232" s="497"/>
      <c r="N232" s="497"/>
      <c r="O232" s="510"/>
      <c r="P232" s="497"/>
      <c r="Q232" s="130">
        <v>5</v>
      </c>
      <c r="R232" s="130" t="s">
        <v>504</v>
      </c>
      <c r="S232" s="178" t="s">
        <v>237</v>
      </c>
      <c r="T232" s="178" t="s">
        <v>152</v>
      </c>
      <c r="U232" s="178" t="s">
        <v>153</v>
      </c>
      <c r="V232" s="178" t="str">
        <f t="shared" si="88"/>
        <v>40%</v>
      </c>
      <c r="W232" s="178" t="s">
        <v>154</v>
      </c>
      <c r="X232" s="178" t="s">
        <v>155</v>
      </c>
      <c r="Y232" s="178" t="s">
        <v>156</v>
      </c>
      <c r="Z232" s="131">
        <f>IFERROR(IF(AND(S231="Probabilidad",S232="Probabilidad"),(Z231-(+Z231*V232)),IF(S232="Probabilidad",(L231-(+L231*V232)),IF(S232="Impacto",Z231,""))),"")</f>
        <v>0.03</v>
      </c>
      <c r="AA232" s="219"/>
      <c r="AB232" s="219"/>
      <c r="AC232" s="497"/>
      <c r="AD232" s="182" t="str">
        <f t="shared" si="89"/>
        <v>60%</v>
      </c>
      <c r="AE232" s="219"/>
      <c r="AF232" s="219"/>
      <c r="AG232" s="497"/>
      <c r="AH232" s="497"/>
      <c r="AI232" s="497"/>
      <c r="AJ232" s="178"/>
      <c r="AK232" s="178"/>
      <c r="AL232" s="152"/>
      <c r="AM232" s="178"/>
      <c r="AN232" s="178"/>
      <c r="AO232" s="178"/>
      <c r="AP232" s="497"/>
      <c r="AQ232" s="537"/>
      <c r="FM232" s="89"/>
    </row>
    <row r="233" spans="1:173" s="78" customFormat="1" ht="13.5" customHeight="1" thickBot="1" x14ac:dyDescent="0.3">
      <c r="A233" s="201"/>
      <c r="B233" s="128" t="s">
        <v>112</v>
      </c>
      <c r="C233" s="201"/>
      <c r="D233" s="201"/>
      <c r="E233" s="201"/>
      <c r="F233" s="466"/>
      <c r="G233" s="201"/>
      <c r="H233" s="201"/>
      <c r="I233" s="211"/>
      <c r="J233" s="211"/>
      <c r="K233" s="498"/>
      <c r="L233" s="498"/>
      <c r="M233" s="498"/>
      <c r="N233" s="498"/>
      <c r="O233" s="511"/>
      <c r="P233" s="498"/>
      <c r="Q233" s="130">
        <v>6</v>
      </c>
      <c r="R233" s="130" t="s">
        <v>505</v>
      </c>
      <c r="S233" s="178" t="s">
        <v>237</v>
      </c>
      <c r="T233" s="178" t="s">
        <v>202</v>
      </c>
      <c r="U233" s="178" t="s">
        <v>171</v>
      </c>
      <c r="V233" s="178" t="str">
        <f t="shared" si="88"/>
        <v>40%</v>
      </c>
      <c r="W233" s="178" t="s">
        <v>154</v>
      </c>
      <c r="X233" s="178" t="s">
        <v>155</v>
      </c>
      <c r="Y233" s="178" t="s">
        <v>156</v>
      </c>
      <c r="Z233" s="131">
        <f>IFERROR(IF(AND(S232="Probabilidad",S233="Probabilidad"),(Z232-(+Z232*V233)),IF(S233="Probabilidad",(L232-(+L232*V233)),IF(S233="Impacto",Z232,""))),"")</f>
        <v>1.7999999999999999E-2</v>
      </c>
      <c r="AA233" s="220"/>
      <c r="AB233" s="220"/>
      <c r="AC233" s="498"/>
      <c r="AD233" s="182" t="str">
        <f t="shared" si="89"/>
        <v>60%</v>
      </c>
      <c r="AE233" s="220"/>
      <c r="AF233" s="220"/>
      <c r="AG233" s="498"/>
      <c r="AH233" s="498"/>
      <c r="AI233" s="498"/>
      <c r="AJ233" s="178"/>
      <c r="AK233" s="178"/>
      <c r="AL233" s="152"/>
      <c r="AM233" s="178"/>
      <c r="AN233" s="178"/>
      <c r="AO233" s="178"/>
      <c r="AP233" s="498"/>
      <c r="AQ233" s="538"/>
      <c r="FM233" s="89"/>
      <c r="FQ233" s="79"/>
    </row>
    <row r="234" spans="1:173" s="78" customFormat="1" ht="13.5" customHeight="1" x14ac:dyDescent="0.25">
      <c r="A234" s="199">
        <v>43</v>
      </c>
      <c r="B234" s="128" t="s">
        <v>112</v>
      </c>
      <c r="C234" s="199" t="s">
        <v>248</v>
      </c>
      <c r="D234" s="199" t="s">
        <v>506</v>
      </c>
      <c r="E234" s="199" t="s">
        <v>507</v>
      </c>
      <c r="F234" s="464" t="s">
        <v>508</v>
      </c>
      <c r="G234" s="199" t="s">
        <v>149</v>
      </c>
      <c r="H234" s="199" t="s">
        <v>150</v>
      </c>
      <c r="I234" s="209" t="s">
        <v>83</v>
      </c>
      <c r="J234" s="209">
        <v>5</v>
      </c>
      <c r="K234" s="496" t="str">
        <f>IF(AND(J234&lt;=2),"Muy Baja",IF(AND(J234&gt;=3,J234&lt;=23),"Baja",IF(AND(J234&gt;=24,J234&lt;=499),"Media",IF(AND(J234&gt;=500,J234&lt;=4999),"Alta",IF(AND(J234&gt;=5000),"Muy Alta",FALSE)))))</f>
        <v>Baja</v>
      </c>
      <c r="L234" s="496" t="str">
        <f>IF(AND(J234&lt;=2),"20%",IF(AND(J234&gt;=3,J234&lt;=23),"40%",IF(AND(J234&gt;=24,J234&lt;=499),"60%",IF(AND(J234&gt;=500,J234&lt;=4999),"80%",IF(AND(J234&gt;=5000),"100%",FALSE)))))</f>
        <v>40%</v>
      </c>
      <c r="M234" s="496" t="s">
        <v>162</v>
      </c>
      <c r="N234" s="496" t="str">
        <f>IF(AND(M234=$FQ$4),"Leve",IF(AND(M234=$FQ$5),"Menor",IF(AND(M234=$FQ$6),"Moderado",IF(AND(M234=$FQ$7),"mayor",IF(AND(M234=$FQ$8),"Catastrófico",IF(AND(M234=$FQ$10),"Leve",IF(AND(M234=$FQ$11),"Menor",IF(AND(M234=$FQ$12),"Moderado",IF(AND(M234=$FQ$13),"Mayor",IF(AND(M234=$FQ$14),"Catastrófico",FALSE))))))))))</f>
        <v>Moderado</v>
      </c>
      <c r="O234" s="509" t="str">
        <f>IF(AND(N234="Leve"),"20%",IF(AND(N234="Menor"),"40%",IF(AND(N234="Moderado"),"60%",IF(AND(N234="Mayor"),"80%",IF(AND(N234="Catastrófico"),"100%","")))))</f>
        <v>60%</v>
      </c>
      <c r="P234" s="496" t="str">
        <f>INDEX('[6]MATRIZ RIESGO'!$D$6:$H$10,MATCH(K234,'[6]MATRIZ RIESGO'!$C$6:$C$10,),MATCH(N234,'[6]MATRIZ RIESGO'!$D$5:$H$5,))</f>
        <v>Moderado</v>
      </c>
      <c r="Q234" s="130">
        <v>1</v>
      </c>
      <c r="R234" s="130" t="s">
        <v>759</v>
      </c>
      <c r="S234" s="178" t="s">
        <v>237</v>
      </c>
      <c r="T234" s="178" t="s">
        <v>152</v>
      </c>
      <c r="U234" s="178" t="s">
        <v>153</v>
      </c>
      <c r="V234" s="178" t="str">
        <f>IF(AND(T234=$FS$2,U234=$FT$2),"50%",IF(AND(T234=$FS$2,U234=$FT$3),"40%",IF(AND(T234=$FS$3,U234=$FT$2),"40%",IF(AND(T234=$FS$3,U234=$FT$3),"30%",IF(AND(T234=$FS$4,U234=$FT$2),"35%",IF(AND(T234=$FS$4,U234=$FT$3),"25%",""))))))</f>
        <v>40%</v>
      </c>
      <c r="W234" s="178" t="s">
        <v>161</v>
      </c>
      <c r="X234" s="178" t="s">
        <v>155</v>
      </c>
      <c r="Y234" s="178" t="s">
        <v>156</v>
      </c>
      <c r="Z234" s="131">
        <f>IFERROR(IF(S234="Probabilidad",(L234-(+L234*V234)),IF(S234="Impacto",L234,"")),"")</f>
        <v>0.24</v>
      </c>
      <c r="AA234" s="218">
        <f>LOOKUP(2,1/(Z234:Z239&lt;&gt;""),Z234:Z239)</f>
        <v>0.24</v>
      </c>
      <c r="AB234" s="218">
        <f t="shared" ref="AB234" si="90">AA234*1</f>
        <v>0.24</v>
      </c>
      <c r="AC234" s="496" t="str">
        <f t="shared" ref="AC234" si="91">IF(AND(AB234&lt;=20%),"Muy Baja",IF(AND(AB234&gt;=21%,AB234&lt;=40%),"Baja",IF(AND(AB234&gt;=41%,AB234&lt;=60%),"Media",IF(AND(AB234&gt;=61%,AB234&lt;=80%),"Alta",IF(AND(AB234&gt;=81%,AB234&gt;=100%),"Muy Alta",FALSE)))))</f>
        <v>Baja</v>
      </c>
      <c r="AD234" s="182" t="str">
        <f>IFERROR(IF(S234="Impacto",(O234-(+O234*V234)),IF(S234="Probabilidad",O234,"")),"")</f>
        <v>60%</v>
      </c>
      <c r="AE234" s="218" t="str">
        <f>LOOKUP(2,1/(AD234:AD239&lt;&gt;""),AD234:AD239)</f>
        <v>60%</v>
      </c>
      <c r="AF234" s="218">
        <f>AE234*1</f>
        <v>0.6</v>
      </c>
      <c r="AG234" s="496" t="str">
        <f t="shared" ref="AG234" si="92">CHOOSE((AF234&gt;=0%)+(AF234&gt;=21%)+(AF234&gt;=41%)+(AF234&gt;=61%)+(AF234&gt;=81%),"Leve","Menor","Moderado","Mayor","Catastrófico")</f>
        <v>Moderado</v>
      </c>
      <c r="AH234" s="496" t="str">
        <f>INDEX('[6]MATRIZ RIESGO'!$D$6:$H$10,MATCH(AC234,'[6]MATRIZ RIESGO'!$C$6:$C$10,),MATCH(AG234,'[6]MATRIZ RIESGO'!$D$5:$H$5,))</f>
        <v>Moderado</v>
      </c>
      <c r="AI234" s="496" t="s">
        <v>111</v>
      </c>
      <c r="AJ234" s="178"/>
      <c r="AK234" s="178"/>
      <c r="AL234" s="152"/>
      <c r="AM234" s="178"/>
      <c r="AN234" s="178"/>
      <c r="AO234" s="178"/>
      <c r="AP234" s="496" t="s">
        <v>509</v>
      </c>
      <c r="AQ234" s="539" t="s">
        <v>113</v>
      </c>
      <c r="FM234" s="89"/>
      <c r="FQ234" s="80"/>
    </row>
    <row r="235" spans="1:173" s="78" customFormat="1" ht="13.5" customHeight="1" x14ac:dyDescent="0.25">
      <c r="A235" s="200"/>
      <c r="B235" s="128" t="s">
        <v>112</v>
      </c>
      <c r="C235" s="200"/>
      <c r="D235" s="200"/>
      <c r="E235" s="200"/>
      <c r="F235" s="465"/>
      <c r="G235" s="200"/>
      <c r="H235" s="200"/>
      <c r="I235" s="210"/>
      <c r="J235" s="210"/>
      <c r="K235" s="497"/>
      <c r="L235" s="497"/>
      <c r="M235" s="497"/>
      <c r="N235" s="497"/>
      <c r="O235" s="510"/>
      <c r="P235" s="497"/>
      <c r="Q235" s="130"/>
      <c r="R235" s="132"/>
      <c r="S235" s="178"/>
      <c r="T235" s="178"/>
      <c r="U235" s="178"/>
      <c r="V235" s="178" t="str">
        <f t="shared" ref="V235:V239" si="93">IF(AND(T235=$FS$2,U235=$FT$2),"50%",IF(AND(T235=$FS$2,U235=$FT$3),"40%",IF(AND(T235=$FS$3,U235=$FT$2),"40%",IF(AND(T235=$FS$3,U235=$FT$3),"30%",IF(AND(T235=$FS$4,U235=$FT$2),"35%",IF(AND(T235=$FS$4,U235=$FT$3),"25%",""))))))</f>
        <v/>
      </c>
      <c r="W235" s="178"/>
      <c r="X235" s="178"/>
      <c r="Y235" s="178"/>
      <c r="Z235" s="131" t="str">
        <f>IFERROR(IF(AND(S234="Probabilidad",S235="Probabilidad"),(Z234-(+Z234*V235)),IF(S235="Probabilidad",(L234-(+L234*V235)),IF(S235="Impacto",Z234,""))),"")</f>
        <v/>
      </c>
      <c r="AA235" s="219"/>
      <c r="AB235" s="219"/>
      <c r="AC235" s="497"/>
      <c r="AD235" s="182" t="str">
        <f>IFERROR(IF(AND(S234="Impacto",V235="Impacto"),(AD234-(+AD234*V235)),IF(S235="Impacto",(O234-(+O234*V235)),IF(S235="Probabilidad",AD234,""))),"")</f>
        <v/>
      </c>
      <c r="AE235" s="219"/>
      <c r="AF235" s="219"/>
      <c r="AG235" s="497"/>
      <c r="AH235" s="497"/>
      <c r="AI235" s="497"/>
      <c r="AJ235" s="178"/>
      <c r="AK235" s="178"/>
      <c r="AL235" s="152"/>
      <c r="AM235" s="178"/>
      <c r="AN235" s="178"/>
      <c r="AO235" s="178"/>
      <c r="AP235" s="497"/>
      <c r="AQ235" s="537"/>
      <c r="FM235" s="89"/>
    </row>
    <row r="236" spans="1:173" s="78" customFormat="1" ht="13.5" customHeight="1" x14ac:dyDescent="0.25">
      <c r="A236" s="200"/>
      <c r="B236" s="128" t="s">
        <v>112</v>
      </c>
      <c r="C236" s="200"/>
      <c r="D236" s="200"/>
      <c r="E236" s="200"/>
      <c r="F236" s="465"/>
      <c r="G236" s="200"/>
      <c r="H236" s="200"/>
      <c r="I236" s="210"/>
      <c r="J236" s="210"/>
      <c r="K236" s="497"/>
      <c r="L236" s="497"/>
      <c r="M236" s="497"/>
      <c r="N236" s="497"/>
      <c r="O236" s="510"/>
      <c r="P236" s="497"/>
      <c r="Q236" s="130"/>
      <c r="R236" s="130"/>
      <c r="S236" s="178"/>
      <c r="T236" s="178"/>
      <c r="U236" s="178"/>
      <c r="V236" s="178" t="str">
        <f t="shared" si="93"/>
        <v/>
      </c>
      <c r="W236" s="178"/>
      <c r="X236" s="178"/>
      <c r="Y236" s="178"/>
      <c r="Z236" s="131" t="str">
        <f>IFERROR(IF(AND(S235="Probabilidad",S236="Probabilidad"),(Z235-(+Z235*V236)),IF(S236="Probabilidad",(L235-(+L235*V236)),IF(S236="Impacto",Z235,""))),"")</f>
        <v/>
      </c>
      <c r="AA236" s="219"/>
      <c r="AB236" s="219"/>
      <c r="AC236" s="497"/>
      <c r="AD236" s="182" t="str">
        <f t="shared" ref="AD236:AD239" si="94">IFERROR(IF(AND(S235="Impacto",V236="Impacto"),(AD235-(+AD235*V236)),IF(S236="Impacto",(O235-(+O235*V236)),IF(S236="Probabilidad",AD235,""))),"")</f>
        <v/>
      </c>
      <c r="AE236" s="219"/>
      <c r="AF236" s="219"/>
      <c r="AG236" s="497"/>
      <c r="AH236" s="497"/>
      <c r="AI236" s="497"/>
      <c r="AJ236" s="178"/>
      <c r="AK236" s="178"/>
      <c r="AL236" s="152"/>
      <c r="AM236" s="178"/>
      <c r="AN236" s="178"/>
      <c r="AO236" s="178"/>
      <c r="AP236" s="497"/>
      <c r="AQ236" s="537"/>
      <c r="FM236" s="89"/>
    </row>
    <row r="237" spans="1:173" s="78" customFormat="1" ht="13.5" customHeight="1" x14ac:dyDescent="0.25">
      <c r="A237" s="200"/>
      <c r="B237" s="128" t="s">
        <v>112</v>
      </c>
      <c r="C237" s="200"/>
      <c r="D237" s="200"/>
      <c r="E237" s="200"/>
      <c r="F237" s="465"/>
      <c r="G237" s="200"/>
      <c r="H237" s="200"/>
      <c r="I237" s="210"/>
      <c r="J237" s="210"/>
      <c r="K237" s="497"/>
      <c r="L237" s="497"/>
      <c r="M237" s="497"/>
      <c r="N237" s="497"/>
      <c r="O237" s="510"/>
      <c r="P237" s="497"/>
      <c r="Q237" s="130"/>
      <c r="R237" s="130"/>
      <c r="S237" s="178"/>
      <c r="T237" s="178"/>
      <c r="U237" s="178"/>
      <c r="V237" s="178" t="str">
        <f t="shared" si="93"/>
        <v/>
      </c>
      <c r="W237" s="178"/>
      <c r="X237" s="178"/>
      <c r="Y237" s="178"/>
      <c r="Z237" s="131" t="str">
        <f>IFERROR(IF(AND(S236="Probabilidad",S237="Probabilidad"),(Z236-(+Z236*V237)),IF(S237="Probabilidad",(L236-(+L236*V237)),IF(S237="Impacto",Z236,""))),"")</f>
        <v/>
      </c>
      <c r="AA237" s="219"/>
      <c r="AB237" s="219"/>
      <c r="AC237" s="497"/>
      <c r="AD237" s="182" t="str">
        <f t="shared" si="94"/>
        <v/>
      </c>
      <c r="AE237" s="219"/>
      <c r="AF237" s="219"/>
      <c r="AG237" s="497"/>
      <c r="AH237" s="497"/>
      <c r="AI237" s="497"/>
      <c r="AJ237" s="178"/>
      <c r="AK237" s="178"/>
      <c r="AL237" s="152"/>
      <c r="AM237" s="178"/>
      <c r="AN237" s="178"/>
      <c r="AO237" s="178"/>
      <c r="AP237" s="497"/>
      <c r="AQ237" s="537"/>
      <c r="FM237" s="89"/>
    </row>
    <row r="238" spans="1:173" s="78" customFormat="1" ht="13.5" customHeight="1" x14ac:dyDescent="0.25">
      <c r="A238" s="200"/>
      <c r="B238" s="128" t="s">
        <v>112</v>
      </c>
      <c r="C238" s="200"/>
      <c r="D238" s="200"/>
      <c r="E238" s="200"/>
      <c r="F238" s="465"/>
      <c r="G238" s="200"/>
      <c r="H238" s="200"/>
      <c r="I238" s="210"/>
      <c r="J238" s="210"/>
      <c r="K238" s="497"/>
      <c r="L238" s="497"/>
      <c r="M238" s="497"/>
      <c r="N238" s="497"/>
      <c r="O238" s="510"/>
      <c r="P238" s="497"/>
      <c r="Q238" s="130"/>
      <c r="R238" s="130"/>
      <c r="S238" s="178"/>
      <c r="T238" s="178"/>
      <c r="U238" s="178"/>
      <c r="V238" s="178" t="str">
        <f t="shared" si="93"/>
        <v/>
      </c>
      <c r="W238" s="178"/>
      <c r="X238" s="178"/>
      <c r="Y238" s="178"/>
      <c r="Z238" s="131" t="str">
        <f>IFERROR(IF(AND(S237="Probabilidad",S238="Probabilidad"),(Z237-(+Z237*V238)),IF(S238="Probabilidad",(L237-(+L237*V238)),IF(S238="Impacto",Z237,""))),"")</f>
        <v/>
      </c>
      <c r="AA238" s="219"/>
      <c r="AB238" s="219"/>
      <c r="AC238" s="497"/>
      <c r="AD238" s="182" t="str">
        <f t="shared" si="94"/>
        <v/>
      </c>
      <c r="AE238" s="219"/>
      <c r="AF238" s="219"/>
      <c r="AG238" s="497"/>
      <c r="AH238" s="497"/>
      <c r="AI238" s="497"/>
      <c r="AJ238" s="178"/>
      <c r="AK238" s="178"/>
      <c r="AL238" s="152"/>
      <c r="AM238" s="178"/>
      <c r="AN238" s="178"/>
      <c r="AO238" s="178"/>
      <c r="AP238" s="497"/>
      <c r="AQ238" s="537"/>
      <c r="FM238" s="89"/>
    </row>
    <row r="239" spans="1:173" s="78" customFormat="1" ht="13.5" customHeight="1" thickBot="1" x14ac:dyDescent="0.3">
      <c r="A239" s="201"/>
      <c r="B239" s="128" t="s">
        <v>112</v>
      </c>
      <c r="C239" s="201"/>
      <c r="D239" s="201"/>
      <c r="E239" s="201"/>
      <c r="F239" s="466"/>
      <c r="G239" s="201"/>
      <c r="H239" s="201"/>
      <c r="I239" s="211"/>
      <c r="J239" s="211"/>
      <c r="K239" s="498"/>
      <c r="L239" s="498"/>
      <c r="M239" s="498"/>
      <c r="N239" s="498"/>
      <c r="O239" s="511"/>
      <c r="P239" s="498"/>
      <c r="Q239" s="130"/>
      <c r="R239" s="130"/>
      <c r="S239" s="178"/>
      <c r="T239" s="178"/>
      <c r="U239" s="178"/>
      <c r="V239" s="178" t="str">
        <f t="shared" si="93"/>
        <v/>
      </c>
      <c r="W239" s="178"/>
      <c r="X239" s="178"/>
      <c r="Y239" s="178"/>
      <c r="Z239" s="131" t="str">
        <f>IFERROR(IF(AND(S238="Probabilidad",S239="Probabilidad"),(Z238-(+Z238*V239)),IF(S239="Probabilidad",(L238-(+L238*V239)),IF(S239="Impacto",Z238,""))),"")</f>
        <v/>
      </c>
      <c r="AA239" s="220"/>
      <c r="AB239" s="220"/>
      <c r="AC239" s="498"/>
      <c r="AD239" s="182" t="str">
        <f t="shared" si="94"/>
        <v/>
      </c>
      <c r="AE239" s="220"/>
      <c r="AF239" s="220"/>
      <c r="AG239" s="498"/>
      <c r="AH239" s="498"/>
      <c r="AI239" s="498"/>
      <c r="AJ239" s="178"/>
      <c r="AK239" s="178"/>
      <c r="AL239" s="152"/>
      <c r="AM239" s="178"/>
      <c r="AN239" s="178"/>
      <c r="AO239" s="178"/>
      <c r="AP239" s="498"/>
      <c r="AQ239" s="538"/>
      <c r="FM239" s="89"/>
      <c r="FQ239" s="79"/>
    </row>
    <row r="240" spans="1:173" s="78" customFormat="1" ht="14.25" customHeight="1" x14ac:dyDescent="0.25">
      <c r="A240" s="199">
        <v>44</v>
      </c>
      <c r="B240" s="128" t="s">
        <v>112</v>
      </c>
      <c r="C240" s="199" t="s">
        <v>260</v>
      </c>
      <c r="D240" s="199" t="s">
        <v>510</v>
      </c>
      <c r="E240" s="199" t="s">
        <v>511</v>
      </c>
      <c r="F240" s="464" t="s">
        <v>512</v>
      </c>
      <c r="G240" s="199" t="s">
        <v>265</v>
      </c>
      <c r="H240" s="199" t="s">
        <v>255</v>
      </c>
      <c r="I240" s="199" t="s">
        <v>760</v>
      </c>
      <c r="J240" s="209">
        <v>1200</v>
      </c>
      <c r="K240" s="496" t="str">
        <f>IF(AND(J240&lt;=2),"Muy Baja",IF(AND(J240&gt;=3,J240&lt;=23),"Baja",IF(AND(J240&gt;=24,J240&lt;=499),"Media",IF(AND(J240&gt;=500,J240&lt;=4999),"Alta",IF(AND(J240&gt;=5000),"Muy Alta",FALSE)))))</f>
        <v>Alta</v>
      </c>
      <c r="L240" s="496" t="str">
        <f>IF(AND(J240&lt;=2),"20%",IF(AND(J240&gt;=3,J240&lt;=23),"40%",IF(AND(J240&gt;=24,J240&lt;=499),"60%",IF(AND(J240&gt;=500,J240&lt;=4999),"80%",IF(AND(J240&gt;=5000),"100%",FALSE)))))</f>
        <v>80%</v>
      </c>
      <c r="M240" s="496" t="s">
        <v>160</v>
      </c>
      <c r="N240" s="496" t="str">
        <f>IF(AND(M240=$FQ$4),"Leve",IF(AND(M240=$FQ$5),"Menor",IF(AND(M240=$FQ$6),"Moderado",IF(AND(M240=$FQ$7),"mayor",IF(AND(M240=$FQ$8),"Catastrófico",IF(AND(M240=$FQ$10),"Leve",IF(AND(M240=$FQ$11),"Menor",IF(AND(M240=$FQ$12),"Moderado",IF(AND(M240=$FQ$13),"Mayor",IF(AND(M240=$FQ$14),"Catastrófico",FALSE))))))))))</f>
        <v>Menor</v>
      </c>
      <c r="O240" s="509" t="str">
        <f>IF(AND(N240="Leve"),"20%",IF(AND(N240="Menor"),"40%",IF(AND(N240="Moderado"),"60%",IF(AND(N240="Mayor"),"80%",IF(AND(N240="Catastrófico"),"100%","")))))</f>
        <v>40%</v>
      </c>
      <c r="P240" s="496" t="str">
        <f>INDEX('[6]MATRIZ RIESGO'!$D$6:$H$10,MATCH(K240,'[6]MATRIZ RIESGO'!$C$6:$C$10,),MATCH(N240,'[6]MATRIZ RIESGO'!$D$5:$H$5,))</f>
        <v>Moderado</v>
      </c>
      <c r="Q240" s="130">
        <v>1</v>
      </c>
      <c r="R240" s="130" t="s">
        <v>513</v>
      </c>
      <c r="S240" s="178" t="s">
        <v>237</v>
      </c>
      <c r="T240" s="178" t="s">
        <v>152</v>
      </c>
      <c r="U240" s="178" t="s">
        <v>171</v>
      </c>
      <c r="V240" s="178" t="str">
        <f>IF(AND(T240=$FS$2,U240=$FT$2),"50%",IF(AND(T240=$FS$2,U240=$FT$3),"40%",IF(AND(T240=$FS$3,U240=$FT$2),"40%",IF(AND(T240=$FS$3,U240=$FT$3),"30%",IF(AND(T240=$FS$4,U240=$FT$2),"35%",IF(AND(T240=$FS$4,U240=$FT$3),"25%",""))))))</f>
        <v>50%</v>
      </c>
      <c r="W240" s="178" t="s">
        <v>154</v>
      </c>
      <c r="X240" s="178" t="s">
        <v>155</v>
      </c>
      <c r="Y240" s="178" t="s">
        <v>156</v>
      </c>
      <c r="Z240" s="131">
        <f>IFERROR(IF(S240="Probabilidad",(L240-(+L240*V240)),IF(S240="Impacto",L240,"")),"")</f>
        <v>0.4</v>
      </c>
      <c r="AA240" s="218">
        <f>LOOKUP(2,1/(Z240:Z245&lt;&gt;""),Z240:Z245)</f>
        <v>0.4</v>
      </c>
      <c r="AB240" s="218">
        <f t="shared" ref="AB240" si="95">AA240*1</f>
        <v>0.4</v>
      </c>
      <c r="AC240" s="496" t="str">
        <f t="shared" ref="AC240" si="96">IF(AND(AB240&lt;=20%),"Muy Baja",IF(AND(AB240&gt;=21%,AB240&lt;=40%),"Baja",IF(AND(AB240&gt;=41%,AB240&lt;=60%),"Media",IF(AND(AB240&gt;=61%,AB240&lt;=80%),"Alta",IF(AND(AB240&gt;=81%,AB240&gt;=100%),"Muy Alta",FALSE)))))</f>
        <v>Baja</v>
      </c>
      <c r="AD240" s="182" t="str">
        <f>IFERROR(IF(S240="Impacto",(O240-(+O240*V240)),IF(S240="Probabilidad",O240,"")),"")</f>
        <v>40%</v>
      </c>
      <c r="AE240" s="218">
        <f>LOOKUP(2,1/(AD240:AD245&lt;&gt;""),AD240:AD245)</f>
        <v>0.2</v>
      </c>
      <c r="AF240" s="218">
        <f>AE240*1</f>
        <v>0.2</v>
      </c>
      <c r="AG240" s="496" t="str">
        <f t="shared" ref="AG240" si="97">CHOOSE((AF240&gt;=0%)+(AF240&gt;=21%)+(AF240&gt;=41%)+(AF240&gt;=61%)+(AF240&gt;=81%),"Leve","Menor","Moderado","Mayor","Catastrófico")</f>
        <v>Leve</v>
      </c>
      <c r="AH240" s="496" t="str">
        <f>INDEX('[6]MATRIZ RIESGO'!$D$6:$H$10,MATCH(AC240,'[6]MATRIZ RIESGO'!$C$6:$C$10,),MATCH(AG240,'[6]MATRIZ RIESGO'!$D$5:$H$5,))</f>
        <v>Bajo</v>
      </c>
      <c r="AI240" s="496" t="s">
        <v>111</v>
      </c>
      <c r="AJ240" s="178"/>
      <c r="AK240" s="178"/>
      <c r="AL240" s="153"/>
      <c r="AM240" s="178"/>
      <c r="AN240" s="178"/>
      <c r="AO240" s="178"/>
      <c r="AP240" s="496" t="s">
        <v>514</v>
      </c>
      <c r="AQ240" s="539" t="s">
        <v>113</v>
      </c>
      <c r="FM240" s="89"/>
      <c r="FQ240" s="80"/>
    </row>
    <row r="241" spans="1:181" s="78" customFormat="1" ht="14.25" customHeight="1" x14ac:dyDescent="0.25">
      <c r="A241" s="200"/>
      <c r="B241" s="128" t="s">
        <v>112</v>
      </c>
      <c r="C241" s="200"/>
      <c r="D241" s="200"/>
      <c r="E241" s="200"/>
      <c r="F241" s="465"/>
      <c r="G241" s="200"/>
      <c r="H241" s="200"/>
      <c r="I241" s="200"/>
      <c r="J241" s="210"/>
      <c r="K241" s="497"/>
      <c r="L241" s="497"/>
      <c r="M241" s="497"/>
      <c r="N241" s="497"/>
      <c r="O241" s="510"/>
      <c r="P241" s="497"/>
      <c r="Q241" s="130">
        <v>2</v>
      </c>
      <c r="R241" s="130" t="s">
        <v>761</v>
      </c>
      <c r="S241" s="178" t="s">
        <v>242</v>
      </c>
      <c r="T241" s="178" t="s">
        <v>152</v>
      </c>
      <c r="U241" s="178" t="s">
        <v>171</v>
      </c>
      <c r="V241" s="178" t="str">
        <f t="shared" ref="V241:V245" si="98">IF(AND(T241=$FS$2,U241=$FT$2),"50%",IF(AND(T241=$FS$2,U241=$FT$3),"40%",IF(AND(T241=$FS$3,U241=$FT$2),"40%",IF(AND(T241=$FS$3,U241=$FT$3),"30%",IF(AND(T241=$FS$4,U241=$FT$2),"35%",IF(AND(T241=$FS$4,U241=$FT$3),"25%",""))))))</f>
        <v>50%</v>
      </c>
      <c r="W241" s="178" t="s">
        <v>161</v>
      </c>
      <c r="X241" s="178" t="s">
        <v>155</v>
      </c>
      <c r="Y241" s="178" t="s">
        <v>165</v>
      </c>
      <c r="Z241" s="131">
        <f>IFERROR(IF(AND(S240="Probabilidad",S241="Probabilidad"),(Z240-(+Z240*V241)),IF(S241="Probabilidad",(L240-(+L240*V241)),IF(S241="Impacto",Z240,""))),"")</f>
        <v>0.4</v>
      </c>
      <c r="AA241" s="219"/>
      <c r="AB241" s="219"/>
      <c r="AC241" s="497"/>
      <c r="AD241" s="182">
        <f>IFERROR(IF(AND(S240="Impacto",V241="Impacto"),(AD240-(+AD240*V241)),IF(S241="Impacto",(O240-(+O240*V241)),IF(S241="Probabilidad",AD240,""))),"")</f>
        <v>0.2</v>
      </c>
      <c r="AE241" s="219"/>
      <c r="AF241" s="219"/>
      <c r="AG241" s="497"/>
      <c r="AH241" s="497"/>
      <c r="AI241" s="497"/>
      <c r="AJ241" s="178"/>
      <c r="AK241" s="178"/>
      <c r="AL241" s="153"/>
      <c r="AM241" s="178"/>
      <c r="AN241" s="178"/>
      <c r="AO241" s="178"/>
      <c r="AP241" s="497"/>
      <c r="AQ241" s="537"/>
      <c r="FM241" s="89"/>
    </row>
    <row r="242" spans="1:181" s="78" customFormat="1" ht="14.25" customHeight="1" x14ac:dyDescent="0.25">
      <c r="A242" s="200"/>
      <c r="B242" s="128" t="s">
        <v>112</v>
      </c>
      <c r="C242" s="200"/>
      <c r="D242" s="200"/>
      <c r="E242" s="200"/>
      <c r="F242" s="465"/>
      <c r="G242" s="200"/>
      <c r="H242" s="200"/>
      <c r="I242" s="200"/>
      <c r="J242" s="210"/>
      <c r="K242" s="497"/>
      <c r="L242" s="497"/>
      <c r="M242" s="497"/>
      <c r="N242" s="497"/>
      <c r="O242" s="510"/>
      <c r="P242" s="497"/>
      <c r="Q242" s="130"/>
      <c r="R242" s="130"/>
      <c r="S242" s="178"/>
      <c r="T242" s="178"/>
      <c r="U242" s="178"/>
      <c r="V242" s="178" t="str">
        <f t="shared" si="98"/>
        <v/>
      </c>
      <c r="W242" s="178"/>
      <c r="X242" s="178"/>
      <c r="Y242" s="178"/>
      <c r="Z242" s="131" t="str">
        <f>IFERROR(IF(AND(S241="Probabilidad",S242="Probabilidad"),(Z241-(+Z241*V242)),IF(S242="Probabilidad",(L241-(+L241*V242)),IF(S242="Impacto",Z241,""))),"")</f>
        <v/>
      </c>
      <c r="AA242" s="219"/>
      <c r="AB242" s="219"/>
      <c r="AC242" s="497"/>
      <c r="AD242" s="182" t="str">
        <f t="shared" ref="AD242:AD245" si="99">IFERROR(IF(AND(S241="Impacto",V242="Impacto"),(AD241-(+AD241*V242)),IF(S242="Impacto",(O241-(+O241*V242)),IF(S242="Probabilidad",AD241,""))),"")</f>
        <v/>
      </c>
      <c r="AE242" s="219"/>
      <c r="AF242" s="219"/>
      <c r="AG242" s="497"/>
      <c r="AH242" s="497"/>
      <c r="AI242" s="497"/>
      <c r="AJ242" s="178"/>
      <c r="AK242" s="178"/>
      <c r="AL242" s="152"/>
      <c r="AM242" s="178"/>
      <c r="AN242" s="178"/>
      <c r="AO242" s="178"/>
      <c r="AP242" s="497"/>
      <c r="AQ242" s="537"/>
      <c r="FM242" s="89"/>
    </row>
    <row r="243" spans="1:181" s="78" customFormat="1" ht="14.25" customHeight="1" x14ac:dyDescent="0.25">
      <c r="A243" s="200"/>
      <c r="B243" s="128" t="s">
        <v>112</v>
      </c>
      <c r="C243" s="200"/>
      <c r="D243" s="200"/>
      <c r="E243" s="200"/>
      <c r="F243" s="465"/>
      <c r="G243" s="200"/>
      <c r="H243" s="200"/>
      <c r="I243" s="200"/>
      <c r="J243" s="210"/>
      <c r="K243" s="497"/>
      <c r="L243" s="497"/>
      <c r="M243" s="497"/>
      <c r="N243" s="497"/>
      <c r="O243" s="510"/>
      <c r="P243" s="497"/>
      <c r="Q243" s="130"/>
      <c r="R243" s="130"/>
      <c r="S243" s="178"/>
      <c r="T243" s="178"/>
      <c r="U243" s="178"/>
      <c r="V243" s="178" t="str">
        <f t="shared" si="98"/>
        <v/>
      </c>
      <c r="W243" s="178"/>
      <c r="X243" s="178"/>
      <c r="Y243" s="178"/>
      <c r="Z243" s="131" t="str">
        <f>IFERROR(IF(AND(S242="Probabilidad",S243="Probabilidad"),(Z242-(+Z242*V243)),IF(S243="Probabilidad",(L242-(+L242*V243)),IF(S243="Impacto",Z242,""))),"")</f>
        <v/>
      </c>
      <c r="AA243" s="219"/>
      <c r="AB243" s="219"/>
      <c r="AC243" s="497"/>
      <c r="AD243" s="182" t="str">
        <f t="shared" si="99"/>
        <v/>
      </c>
      <c r="AE243" s="219"/>
      <c r="AF243" s="219"/>
      <c r="AG243" s="497"/>
      <c r="AH243" s="497"/>
      <c r="AI243" s="497"/>
      <c r="AJ243" s="178"/>
      <c r="AK243" s="178"/>
      <c r="AL243" s="152"/>
      <c r="AM243" s="178"/>
      <c r="AN243" s="178"/>
      <c r="AO243" s="178"/>
      <c r="AP243" s="497"/>
      <c r="AQ243" s="537"/>
      <c r="FM243" s="89"/>
    </row>
    <row r="244" spans="1:181" s="78" customFormat="1" ht="14.25" customHeight="1" x14ac:dyDescent="0.25">
      <c r="A244" s="200"/>
      <c r="B244" s="128" t="s">
        <v>112</v>
      </c>
      <c r="C244" s="200"/>
      <c r="D244" s="200"/>
      <c r="E244" s="200"/>
      <c r="F244" s="465"/>
      <c r="G244" s="200"/>
      <c r="H244" s="200"/>
      <c r="I244" s="200"/>
      <c r="J244" s="210"/>
      <c r="K244" s="497"/>
      <c r="L244" s="497"/>
      <c r="M244" s="497"/>
      <c r="N244" s="497"/>
      <c r="O244" s="510"/>
      <c r="P244" s="497"/>
      <c r="Q244" s="130"/>
      <c r="R244" s="130"/>
      <c r="S244" s="178"/>
      <c r="T244" s="178"/>
      <c r="U244" s="178"/>
      <c r="V244" s="178" t="str">
        <f t="shared" si="98"/>
        <v/>
      </c>
      <c r="W244" s="178"/>
      <c r="X244" s="178"/>
      <c r="Y244" s="178"/>
      <c r="Z244" s="131" t="str">
        <f>IFERROR(IF(AND(S243="Probabilidad",S244="Probabilidad"),(Z243-(+Z243*V244)),IF(S244="Probabilidad",(L243-(+L243*V244)),IF(S244="Impacto",Z243,""))),"")</f>
        <v/>
      </c>
      <c r="AA244" s="219"/>
      <c r="AB244" s="219"/>
      <c r="AC244" s="497"/>
      <c r="AD244" s="182" t="str">
        <f t="shared" si="99"/>
        <v/>
      </c>
      <c r="AE244" s="219"/>
      <c r="AF244" s="219"/>
      <c r="AG244" s="497"/>
      <c r="AH244" s="497"/>
      <c r="AI244" s="497"/>
      <c r="AJ244" s="178"/>
      <c r="AK244" s="178"/>
      <c r="AL244" s="152"/>
      <c r="AM244" s="178"/>
      <c r="AN244" s="178"/>
      <c r="AO244" s="178"/>
      <c r="AP244" s="497"/>
      <c r="AQ244" s="537"/>
      <c r="FM244" s="89"/>
    </row>
    <row r="245" spans="1:181" s="78" customFormat="1" ht="14.25" customHeight="1" thickBot="1" x14ac:dyDescent="0.25">
      <c r="A245" s="201"/>
      <c r="B245" s="128" t="s">
        <v>112</v>
      </c>
      <c r="C245" s="201"/>
      <c r="D245" s="201"/>
      <c r="E245" s="201"/>
      <c r="F245" s="466"/>
      <c r="G245" s="201"/>
      <c r="H245" s="201"/>
      <c r="I245" s="201"/>
      <c r="J245" s="211"/>
      <c r="K245" s="498"/>
      <c r="L245" s="498"/>
      <c r="M245" s="498"/>
      <c r="N245" s="498"/>
      <c r="O245" s="511"/>
      <c r="P245" s="498"/>
      <c r="Q245" s="130"/>
      <c r="R245" s="130"/>
      <c r="S245" s="178"/>
      <c r="T245" s="178"/>
      <c r="U245" s="178"/>
      <c r="V245" s="178" t="str">
        <f t="shared" si="98"/>
        <v/>
      </c>
      <c r="W245" s="178"/>
      <c r="X245" s="178"/>
      <c r="Y245" s="178"/>
      <c r="Z245" s="131" t="str">
        <f>IFERROR(IF(AND(S244="Probabilidad",S245="Probabilidad"),(Z244-(+Z244*V245)),IF(S245="Probabilidad",(L244-(+L244*V245)),IF(S245="Impacto",Z244,""))),"")</f>
        <v/>
      </c>
      <c r="AA245" s="220"/>
      <c r="AB245" s="220"/>
      <c r="AC245" s="498"/>
      <c r="AD245" s="182" t="str">
        <f t="shared" si="99"/>
        <v/>
      </c>
      <c r="AE245" s="220"/>
      <c r="AF245" s="220"/>
      <c r="AG245" s="498"/>
      <c r="AH245" s="498"/>
      <c r="AI245" s="498"/>
      <c r="AJ245" s="178"/>
      <c r="AK245" s="178"/>
      <c r="AL245" s="152"/>
      <c r="AM245" s="178"/>
      <c r="AN245" s="178"/>
      <c r="AO245" s="178"/>
      <c r="AP245" s="498"/>
      <c r="AQ245" s="538"/>
      <c r="FM245" s="90"/>
      <c r="FN245" s="87"/>
      <c r="FO245" s="87"/>
      <c r="FP245" s="87"/>
      <c r="FQ245" s="87"/>
      <c r="FR245" s="87"/>
      <c r="FS245" s="87"/>
      <c r="FT245" s="87"/>
      <c r="FU245" s="87"/>
      <c r="FV245" s="87"/>
      <c r="FW245" s="87"/>
      <c r="FX245" s="87"/>
      <c r="FY245" s="87"/>
    </row>
    <row r="246" spans="1:181" s="78" customFormat="1" ht="13.5" customHeight="1" x14ac:dyDescent="0.25">
      <c r="A246" s="199">
        <v>45</v>
      </c>
      <c r="B246" s="128" t="s">
        <v>112</v>
      </c>
      <c r="C246" s="199" t="s">
        <v>248</v>
      </c>
      <c r="D246" s="199" t="s">
        <v>515</v>
      </c>
      <c r="E246" s="199" t="s">
        <v>516</v>
      </c>
      <c r="F246" s="464" t="s">
        <v>743</v>
      </c>
      <c r="G246" s="199" t="s">
        <v>265</v>
      </c>
      <c r="H246" s="199" t="s">
        <v>255</v>
      </c>
      <c r="I246" s="199" t="s">
        <v>517</v>
      </c>
      <c r="J246" s="209">
        <v>1200</v>
      </c>
      <c r="K246" s="496" t="str">
        <f>IF(AND(J246&lt;=2),"Muy Baja",IF(AND(J246&gt;=3,J246&lt;=23),"Baja",IF(AND(J246&gt;=24,J246&lt;=499),"Media",IF(AND(J246&gt;=500,J246&lt;=4999),"Alta",IF(AND(J246&gt;=5000),"Muy Alta",FALSE)))))</f>
        <v>Alta</v>
      </c>
      <c r="L246" s="496" t="str">
        <f>IF(AND(J246&lt;=2),"20%",IF(AND(J246&gt;=3,J246&lt;=23),"40%",IF(AND(J246&gt;=24,J246&lt;=499),"60%",IF(AND(J246&gt;=500,J246&lt;=4999),"80%",IF(AND(J246&gt;=5000),"100%",FALSE)))))</f>
        <v>80%</v>
      </c>
      <c r="M246" s="496" t="s">
        <v>160</v>
      </c>
      <c r="N246" s="496" t="str">
        <f>IF(AND(M246=$FQ$4),"Leve",IF(AND(M246=$FQ$5),"Menor",IF(AND(M246=$FQ$6),"Moderado",IF(AND(M246=$FQ$7),"mayor",IF(AND(M246=$FQ$8),"Catastrófico",IF(AND(M246=$FQ$10),"Leve",IF(AND(M246=$FQ$11),"Menor",IF(AND(M246=$FQ$12),"Moderado",IF(AND(M246=$FQ$13),"Mayor",IF(AND(M246=$FQ$14),"Catastrófico",FALSE))))))))))</f>
        <v>Menor</v>
      </c>
      <c r="O246" s="509" t="str">
        <f>IF(AND(N246="Leve"),"20%",IF(AND(N246="Menor"),"40%",IF(AND(N246="Moderado"),"60%",IF(AND(N246="Mayor"),"80%",IF(AND(N246="Catastrófico"),"100%","")))))</f>
        <v>40%</v>
      </c>
      <c r="P246" s="496" t="str">
        <f>INDEX('[6]MATRIZ RIESGO'!$D$6:$H$10,MATCH(K246,'[6]MATRIZ RIESGO'!$C$6:$C$10,),MATCH(N246,'[6]MATRIZ RIESGO'!$D$5:$H$5,))</f>
        <v>Moderado</v>
      </c>
      <c r="Q246" s="130">
        <v>1</v>
      </c>
      <c r="R246" s="130" t="s">
        <v>518</v>
      </c>
      <c r="S246" s="178" t="s">
        <v>237</v>
      </c>
      <c r="T246" s="178" t="s">
        <v>152</v>
      </c>
      <c r="U246" s="178" t="s">
        <v>171</v>
      </c>
      <c r="V246" s="178" t="str">
        <f>IF(AND(T246=$FS$2,U246=$FT$2),"50%",IF(AND(T246=$FS$2,U246=$FT$3),"40%",IF(AND(T246=$FS$3,U246=$FT$2),"40%",IF(AND(T246=$FS$3,U246=$FT$3),"30%",IF(AND(T246=$FS$4,U246=$FT$2),"35%",IF(AND(T246=$FS$4,U246=$FT$3),"25%",""))))))</f>
        <v>50%</v>
      </c>
      <c r="W246" s="178" t="s">
        <v>154</v>
      </c>
      <c r="X246" s="178" t="s">
        <v>155</v>
      </c>
      <c r="Y246" s="178" t="s">
        <v>156</v>
      </c>
      <c r="Z246" s="131">
        <f>IFERROR(IF(S246="Probabilidad",(L246-(+L246*V246)),IF(S246="Impacto",L246,"")),"")</f>
        <v>0.4</v>
      </c>
      <c r="AA246" s="218">
        <f>LOOKUP(2,1/(Z246:Z251&lt;&gt;""),Z246:Z251)</f>
        <v>0.2</v>
      </c>
      <c r="AB246" s="218">
        <f>AA246*1</f>
        <v>0.2</v>
      </c>
      <c r="AC246" s="496" t="str">
        <f>IF(AND(AB246&lt;=20%),"Muy Baja",IF(AND(AB246&gt;=21%,AB246&lt;=40%),"Baja",IF(AND(AB246&gt;=41%,AB246&lt;=60%),"Media",IF(AND(AB246&gt;=61%,AB246&lt;=80%),"Alta",IF(AND(AB246&gt;=81%,AB246&gt;=100%),"Muy Alta",FALSE)))))</f>
        <v>Muy Baja</v>
      </c>
      <c r="AD246" s="182" t="str">
        <f>IFERROR(IF(S246="Impacto",(O246-(+O246*V246)),IF(S246="Probabilidad",O246,"")),"")</f>
        <v>40%</v>
      </c>
      <c r="AE246" s="218" t="str">
        <f>LOOKUP(2,1/(AD246:AD251&lt;&gt;""),AD246:AD251)</f>
        <v>40%</v>
      </c>
      <c r="AF246" s="218">
        <f>AE246*1</f>
        <v>0.4</v>
      </c>
      <c r="AG246" s="496" t="str">
        <f>CHOOSE((AF246&gt;=0%)+(AF246&gt;=21%)+(AF246&gt;=41%)+(AF246&gt;=61%)+(AF246&gt;=81%),"Leve","Menor","Moderado","Mayor","Catastrófico")</f>
        <v>Menor</v>
      </c>
      <c r="AH246" s="496" t="str">
        <f>INDEX('[6]MATRIZ RIESGO'!$D$6:$H$10,MATCH(AC246,'[6]MATRIZ RIESGO'!$C$6:$C$10,),MATCH(AG246,'[6]MATRIZ RIESGO'!$D$5:$H$5,))</f>
        <v>Bajo</v>
      </c>
      <c r="AI246" s="496" t="s">
        <v>111</v>
      </c>
      <c r="AJ246" s="178"/>
      <c r="AK246" s="178"/>
      <c r="AL246" s="152"/>
      <c r="AM246" s="178"/>
      <c r="AN246" s="178"/>
      <c r="AO246" s="178"/>
      <c r="AP246" s="496" t="s">
        <v>519</v>
      </c>
      <c r="AQ246" s="539" t="s">
        <v>113</v>
      </c>
      <c r="FM246" s="89"/>
      <c r="FP246" s="78" t="s">
        <v>255</v>
      </c>
      <c r="FQ246" s="80" t="s">
        <v>256</v>
      </c>
    </row>
    <row r="247" spans="1:181" s="78" customFormat="1" ht="13.5" customHeight="1" x14ac:dyDescent="0.2">
      <c r="A247" s="200"/>
      <c r="B247" s="128" t="s">
        <v>112</v>
      </c>
      <c r="C247" s="200"/>
      <c r="D247" s="200"/>
      <c r="E247" s="200"/>
      <c r="F247" s="465"/>
      <c r="G247" s="200"/>
      <c r="H247" s="200"/>
      <c r="I247" s="200"/>
      <c r="J247" s="210"/>
      <c r="K247" s="497"/>
      <c r="L247" s="497"/>
      <c r="M247" s="497"/>
      <c r="N247" s="497"/>
      <c r="O247" s="510"/>
      <c r="P247" s="497"/>
      <c r="Q247" s="130">
        <v>2</v>
      </c>
      <c r="R247" s="130" t="s">
        <v>520</v>
      </c>
      <c r="S247" s="178" t="s">
        <v>237</v>
      </c>
      <c r="T247" s="178" t="s">
        <v>152</v>
      </c>
      <c r="U247" s="178" t="s">
        <v>171</v>
      </c>
      <c r="V247" s="178" t="str">
        <f t="shared" ref="V247:V251" si="100">IF(AND(T247=$FS$2,U247=$FT$2),"50%",IF(AND(T247=$FS$2,U247=$FT$3),"40%",IF(AND(T247=$FS$3,U247=$FT$2),"40%",IF(AND(T247=$FS$3,U247=$FT$3),"30%",IF(AND(T247=$FS$4,U247=$FT$2),"35%",IF(AND(T247=$FS$4,U247=$FT$3),"25%",""))))))</f>
        <v>50%</v>
      </c>
      <c r="W247" s="178" t="s">
        <v>154</v>
      </c>
      <c r="X247" s="178" t="s">
        <v>155</v>
      </c>
      <c r="Y247" s="178" t="s">
        <v>156</v>
      </c>
      <c r="Z247" s="131">
        <f>IFERROR(IF(AND(S246="Probabilidad",S247="Probabilidad"),(Z246-(+Z246*V247)),IF(S247="Probabilidad",(L246-(+L246*V247)),IF(S247="Impacto",Z246,""))),"")</f>
        <v>0.2</v>
      </c>
      <c r="AA247" s="219"/>
      <c r="AB247" s="219"/>
      <c r="AC247" s="497"/>
      <c r="AD247" s="182" t="str">
        <f>IFERROR(IF(AND(S246="Impacto",V247="Impacto"),(AD246-(+AD246*V247)),IF(S247="Impacto",(O246-(+O246*V247)),IF(S247="Probabilidad",AD246,""))),"")</f>
        <v>40%</v>
      </c>
      <c r="AE247" s="219"/>
      <c r="AF247" s="219"/>
      <c r="AG247" s="497"/>
      <c r="AH247" s="497"/>
      <c r="AI247" s="497"/>
      <c r="AJ247" s="178"/>
      <c r="AK247" s="178"/>
      <c r="AL247" s="152"/>
      <c r="AM247" s="178"/>
      <c r="AN247" s="178"/>
      <c r="AO247" s="178"/>
      <c r="AP247" s="497"/>
      <c r="AQ247" s="537"/>
      <c r="FM247" s="89"/>
      <c r="FP247" s="78" t="s">
        <v>196</v>
      </c>
      <c r="FQ247" s="87" t="s">
        <v>158</v>
      </c>
    </row>
    <row r="248" spans="1:181" s="78" customFormat="1" ht="13.5" customHeight="1" x14ac:dyDescent="0.2">
      <c r="A248" s="200"/>
      <c r="B248" s="128" t="s">
        <v>112</v>
      </c>
      <c r="C248" s="200"/>
      <c r="D248" s="200"/>
      <c r="E248" s="200"/>
      <c r="F248" s="465"/>
      <c r="G248" s="200"/>
      <c r="H248" s="200"/>
      <c r="I248" s="200"/>
      <c r="J248" s="210"/>
      <c r="K248" s="497"/>
      <c r="L248" s="497"/>
      <c r="M248" s="497"/>
      <c r="N248" s="497"/>
      <c r="O248" s="510"/>
      <c r="P248" s="497"/>
      <c r="Q248" s="130"/>
      <c r="R248" s="130"/>
      <c r="S248" s="178"/>
      <c r="T248" s="178"/>
      <c r="U248" s="178"/>
      <c r="V248" s="178" t="str">
        <f t="shared" si="100"/>
        <v/>
      </c>
      <c r="W248" s="178"/>
      <c r="X248" s="178"/>
      <c r="Y248" s="178"/>
      <c r="Z248" s="131" t="str">
        <f>IFERROR(IF(AND(S247="Probabilidad",S248="Probabilidad"),(Z247-(+Z247*V248)),IF(S248="Probabilidad",(L247-(+L247*V248)),IF(S248="Impacto",Z247,""))),"")</f>
        <v/>
      </c>
      <c r="AA248" s="219"/>
      <c r="AB248" s="219"/>
      <c r="AC248" s="497"/>
      <c r="AD248" s="182" t="str">
        <f t="shared" ref="AD248:AD251" si="101">IFERROR(IF(AND(S247="Impacto",V248="Impacto"),(AD247-(+AD247*V248)),IF(S248="Impacto",(O247-(+O247*V248)),IF(S248="Probabilidad",AD247,""))),"")</f>
        <v/>
      </c>
      <c r="AE248" s="219"/>
      <c r="AF248" s="219"/>
      <c r="AG248" s="497"/>
      <c r="AH248" s="497"/>
      <c r="AI248" s="497"/>
      <c r="AJ248" s="178"/>
      <c r="AK248" s="178"/>
      <c r="AL248" s="152"/>
      <c r="AM248" s="178"/>
      <c r="AN248" s="178"/>
      <c r="AO248" s="178"/>
      <c r="AP248" s="497"/>
      <c r="AQ248" s="537"/>
      <c r="FM248" s="89"/>
      <c r="FQ248" s="87" t="s">
        <v>160</v>
      </c>
    </row>
    <row r="249" spans="1:181" s="78" customFormat="1" ht="13.5" customHeight="1" x14ac:dyDescent="0.2">
      <c r="A249" s="200"/>
      <c r="B249" s="128" t="s">
        <v>112</v>
      </c>
      <c r="C249" s="200"/>
      <c r="D249" s="200"/>
      <c r="E249" s="200"/>
      <c r="F249" s="465"/>
      <c r="G249" s="200"/>
      <c r="H249" s="200"/>
      <c r="I249" s="200"/>
      <c r="J249" s="210"/>
      <c r="K249" s="497"/>
      <c r="L249" s="497"/>
      <c r="M249" s="497"/>
      <c r="N249" s="497"/>
      <c r="O249" s="510"/>
      <c r="P249" s="497"/>
      <c r="Q249" s="130"/>
      <c r="R249" s="130"/>
      <c r="S249" s="178"/>
      <c r="T249" s="178"/>
      <c r="U249" s="178"/>
      <c r="V249" s="178" t="str">
        <f t="shared" si="100"/>
        <v/>
      </c>
      <c r="W249" s="178"/>
      <c r="X249" s="178"/>
      <c r="Y249" s="178"/>
      <c r="Z249" s="131" t="str">
        <f>IFERROR(IF(AND(S248="Probabilidad",S249="Probabilidad"),(Z248-(+Z248*V249)),IF(S249="Probabilidad",(L248-(+L248*V249)),IF(S249="Impacto",Z248,""))),"")</f>
        <v/>
      </c>
      <c r="AA249" s="219"/>
      <c r="AB249" s="219"/>
      <c r="AC249" s="497"/>
      <c r="AD249" s="182" t="str">
        <f t="shared" si="101"/>
        <v/>
      </c>
      <c r="AE249" s="219"/>
      <c r="AF249" s="219"/>
      <c r="AG249" s="497"/>
      <c r="AH249" s="497"/>
      <c r="AI249" s="497"/>
      <c r="AJ249" s="178"/>
      <c r="AK249" s="178"/>
      <c r="AL249" s="152"/>
      <c r="AM249" s="178"/>
      <c r="AN249" s="178"/>
      <c r="AO249" s="178"/>
      <c r="AP249" s="497"/>
      <c r="AQ249" s="537"/>
      <c r="FM249" s="89"/>
      <c r="FQ249" s="87" t="s">
        <v>162</v>
      </c>
    </row>
    <row r="250" spans="1:181" s="78" customFormat="1" ht="13.5" customHeight="1" x14ac:dyDescent="0.2">
      <c r="A250" s="200"/>
      <c r="B250" s="128" t="s">
        <v>112</v>
      </c>
      <c r="C250" s="200"/>
      <c r="D250" s="200"/>
      <c r="E250" s="200"/>
      <c r="F250" s="465"/>
      <c r="G250" s="200"/>
      <c r="H250" s="200"/>
      <c r="I250" s="200"/>
      <c r="J250" s="210"/>
      <c r="K250" s="497"/>
      <c r="L250" s="497"/>
      <c r="M250" s="497"/>
      <c r="N250" s="497"/>
      <c r="O250" s="510"/>
      <c r="P250" s="497"/>
      <c r="Q250" s="130"/>
      <c r="R250" s="130"/>
      <c r="S250" s="178"/>
      <c r="T250" s="178"/>
      <c r="U250" s="178"/>
      <c r="V250" s="178" t="str">
        <f t="shared" si="100"/>
        <v/>
      </c>
      <c r="W250" s="178"/>
      <c r="X250" s="178"/>
      <c r="Y250" s="178"/>
      <c r="Z250" s="131" t="str">
        <f>IFERROR(IF(AND(S249="Probabilidad",S250="Probabilidad"),(Z249-(+Z249*V250)),IF(S250="Probabilidad",(L249-(+L249*V250)),IF(S250="Impacto",Z249,""))),"")</f>
        <v/>
      </c>
      <c r="AA250" s="219"/>
      <c r="AB250" s="219"/>
      <c r="AC250" s="497"/>
      <c r="AD250" s="182" t="str">
        <f t="shared" si="101"/>
        <v/>
      </c>
      <c r="AE250" s="219"/>
      <c r="AF250" s="219"/>
      <c r="AG250" s="497"/>
      <c r="AH250" s="497"/>
      <c r="AI250" s="497"/>
      <c r="AJ250" s="178"/>
      <c r="AK250" s="178"/>
      <c r="AL250" s="152"/>
      <c r="AM250" s="178"/>
      <c r="AN250" s="178"/>
      <c r="AO250" s="178"/>
      <c r="AP250" s="497"/>
      <c r="AQ250" s="537"/>
      <c r="FM250" s="89"/>
      <c r="FQ250" s="87" t="s">
        <v>257</v>
      </c>
    </row>
    <row r="251" spans="1:181" s="78" customFormat="1" ht="13.5" customHeight="1" thickBot="1" x14ac:dyDescent="0.25">
      <c r="A251" s="201"/>
      <c r="B251" s="128" t="s">
        <v>112</v>
      </c>
      <c r="C251" s="201"/>
      <c r="D251" s="201"/>
      <c r="E251" s="201"/>
      <c r="F251" s="466"/>
      <c r="G251" s="201"/>
      <c r="H251" s="201"/>
      <c r="I251" s="201"/>
      <c r="J251" s="211"/>
      <c r="K251" s="498"/>
      <c r="L251" s="498"/>
      <c r="M251" s="498"/>
      <c r="N251" s="498"/>
      <c r="O251" s="511"/>
      <c r="P251" s="498"/>
      <c r="Q251" s="130"/>
      <c r="R251" s="130"/>
      <c r="S251" s="178"/>
      <c r="T251" s="178"/>
      <c r="U251" s="178"/>
      <c r="V251" s="178" t="str">
        <f t="shared" si="100"/>
        <v/>
      </c>
      <c r="W251" s="178"/>
      <c r="X251" s="178"/>
      <c r="Y251" s="178"/>
      <c r="Z251" s="131" t="str">
        <f>IFERROR(IF(AND(S250="Probabilidad",S251="Probabilidad"),(Z250-(+Z250*V251)),IF(S251="Probabilidad",(L250-(+L250*V251)),IF(S251="Impacto",Z250,""))),"")</f>
        <v/>
      </c>
      <c r="AA251" s="220"/>
      <c r="AB251" s="220"/>
      <c r="AC251" s="498"/>
      <c r="AD251" s="182" t="str">
        <f t="shared" si="101"/>
        <v/>
      </c>
      <c r="AE251" s="220"/>
      <c r="AF251" s="220"/>
      <c r="AG251" s="498"/>
      <c r="AH251" s="498"/>
      <c r="AI251" s="498"/>
      <c r="AJ251" s="178"/>
      <c r="AK251" s="178"/>
      <c r="AL251" s="152"/>
      <c r="AM251" s="178"/>
      <c r="AN251" s="178"/>
      <c r="AO251" s="178"/>
      <c r="AP251" s="498"/>
      <c r="AQ251" s="538"/>
      <c r="FM251" s="89"/>
      <c r="FQ251" s="87" t="s">
        <v>170</v>
      </c>
    </row>
    <row r="252" spans="1:181" s="78" customFormat="1" ht="13.5" customHeight="1" x14ac:dyDescent="0.25">
      <c r="A252" s="199">
        <v>46</v>
      </c>
      <c r="B252" s="128" t="s">
        <v>112</v>
      </c>
      <c r="C252" s="199" t="s">
        <v>260</v>
      </c>
      <c r="D252" s="199" t="s">
        <v>521</v>
      </c>
      <c r="E252" s="199" t="s">
        <v>522</v>
      </c>
      <c r="F252" s="464" t="s">
        <v>523</v>
      </c>
      <c r="G252" s="199" t="s">
        <v>149</v>
      </c>
      <c r="H252" s="199" t="s">
        <v>267</v>
      </c>
      <c r="I252" s="199" t="s">
        <v>83</v>
      </c>
      <c r="J252" s="209">
        <v>2335</v>
      </c>
      <c r="K252" s="496" t="str">
        <f>IF(AND(J252&lt;=2),"Muy Baja",IF(AND(J252&gt;=3,J252&lt;=23),"Baja",IF(AND(J252&gt;=24,J252&lt;=499),"Media",IF(AND(J252&gt;=500,J252&lt;=4999),"Alta",IF(AND(J252&gt;=5000),"Muy Alta",FALSE)))))</f>
        <v>Alta</v>
      </c>
      <c r="L252" s="496" t="str">
        <f>IF(AND(J252&lt;=2),"20%",IF(AND(J252&gt;=3,J252&lt;=23),"40%",IF(AND(J252&gt;=24,J252&lt;=499),"60%",IF(AND(J252&gt;=500,J252&lt;=4999),"80%",IF(AND(J252&gt;=5000),"100%",FALSE)))))</f>
        <v>80%</v>
      </c>
      <c r="M252" s="496" t="s">
        <v>269</v>
      </c>
      <c r="N252" s="496" t="str">
        <f>IF(AND(M252=$FQ$4),"Leve",IF(AND(M252=$FQ$5),"Menor",IF(AND(M252=$FQ$6),"Moderado",IF(AND(M252=$FQ$7),"mayor",IF(AND(M252=$FQ$8),"Catastrófico",IF(AND(M252=$FQ$10),"Leve",IF(AND(M252=$FQ$11),"Menor",IF(AND(M252=$FQ$12),"Moderado",IF(AND(M252=$FQ$13),"Mayor",IF(AND(M252=$FQ$14),"Catastrófico",FALSE))))))))))</f>
        <v>mayor</v>
      </c>
      <c r="O252" s="509" t="str">
        <f>IF(AND(N252="Leve"),"20%",IF(AND(N252="Menor"),"40%",IF(AND(N252="Moderado"),"60%",IF(AND(N252="Mayor"),"80%",IF(AND(N252="Catastrófico"),"100%","")))))</f>
        <v>80%</v>
      </c>
      <c r="P252" s="496" t="str">
        <f>INDEX('[6]MATRIZ RIESGO'!$D$6:$H$10,MATCH(K252,'[6]MATRIZ RIESGO'!$C$6:$C$10,),MATCH(N252,'[6]MATRIZ RIESGO'!$D$5:$H$5,))</f>
        <v>Alto</v>
      </c>
      <c r="Q252" s="130">
        <v>1</v>
      </c>
      <c r="R252" s="130" t="s">
        <v>744</v>
      </c>
      <c r="S252" s="178" t="s">
        <v>237</v>
      </c>
      <c r="T252" s="178" t="s">
        <v>152</v>
      </c>
      <c r="U252" s="178" t="s">
        <v>153</v>
      </c>
      <c r="V252" s="178" t="str">
        <f>IF(AND(T252=$FS$2,U252=$FT$2),"50%",IF(AND(T252=$FS$2,U252=$FT$3),"40%",IF(AND(T252=$FS$3,U252=$FT$2),"40%",IF(AND(T252=$FS$3,U252=$FT$3),"30%",IF(AND(T252=$FS$4,U252=$FT$2),"35%",IF(AND(T252=$FS$4,U252=$FT$3),"25%",""))))))</f>
        <v>40%</v>
      </c>
      <c r="W252" s="178" t="s">
        <v>154</v>
      </c>
      <c r="X252" s="178" t="s">
        <v>155</v>
      </c>
      <c r="Y252" s="178" t="s">
        <v>156</v>
      </c>
      <c r="Z252" s="131">
        <f>IFERROR(IF(S252="Probabilidad",(L252-(+L252*V252)),IF(S252="Impacto",L252,"")),"")</f>
        <v>0.48</v>
      </c>
      <c r="AA252" s="218">
        <f>LOOKUP(2,1/(Z252:Z257&lt;&gt;""),Z252:Z257)</f>
        <v>0.28799999999999998</v>
      </c>
      <c r="AB252" s="218">
        <f t="shared" ref="AB252" si="102">AA252*1</f>
        <v>0.28799999999999998</v>
      </c>
      <c r="AC252" s="496" t="str">
        <f t="shared" ref="AC252" si="103">IF(AND(AB252&lt;=20%),"Muy Baja",IF(AND(AB252&gt;=21%,AB252&lt;=40%),"Baja",IF(AND(AB252&gt;=41%,AB252&lt;=60%),"Media",IF(AND(AB252&gt;=61%,AB252&lt;=80%),"Alta",IF(AND(AB252&gt;=81%,AB252&gt;=100%),"Muy Alta",FALSE)))))</f>
        <v>Baja</v>
      </c>
      <c r="AD252" s="182" t="str">
        <f>IFERROR(IF(S252="Impacto",(O252-(+O252*V252)),IF(S252="Probabilidad",O252,"")),"")</f>
        <v>80%</v>
      </c>
      <c r="AE252" s="218">
        <f>LOOKUP(2,1/(AD252:AD257&lt;&gt;""),AD252:AD257)</f>
        <v>0</v>
      </c>
      <c r="AF252" s="218">
        <f>AE252*1</f>
        <v>0</v>
      </c>
      <c r="AG252" s="496" t="str">
        <f t="shared" ref="AG252" si="104">CHOOSE((AF252&gt;=0%)+(AF252&gt;=21%)+(AF252&gt;=41%)+(AF252&gt;=61%)+(AF252&gt;=81%),"Leve","Menor","Moderado","Mayor","Catastrófico")</f>
        <v>Leve</v>
      </c>
      <c r="AH252" s="496" t="str">
        <f>INDEX('[6]MATRIZ RIESGO'!$D$6:$H$10,MATCH(AC252,'[6]MATRIZ RIESGO'!$C$6:$C$10,),MATCH(AG252,'[6]MATRIZ RIESGO'!$D$5:$H$5,))</f>
        <v>Bajo</v>
      </c>
      <c r="AI252" s="496" t="s">
        <v>111</v>
      </c>
      <c r="AJ252" s="178"/>
      <c r="AK252" s="178"/>
      <c r="AL252" s="152"/>
      <c r="AM252" s="178"/>
      <c r="AN252" s="178"/>
      <c r="AO252" s="178"/>
      <c r="AP252" s="496" t="s">
        <v>524</v>
      </c>
      <c r="AQ252" s="539" t="s">
        <v>113</v>
      </c>
      <c r="FM252" s="89"/>
      <c r="FQ252" s="80"/>
    </row>
    <row r="253" spans="1:181" s="78" customFormat="1" ht="13.5" customHeight="1" x14ac:dyDescent="0.25">
      <c r="A253" s="200"/>
      <c r="B253" s="128" t="s">
        <v>112</v>
      </c>
      <c r="C253" s="200"/>
      <c r="D253" s="200"/>
      <c r="E253" s="200"/>
      <c r="F253" s="465"/>
      <c r="G253" s="200"/>
      <c r="H253" s="200"/>
      <c r="I253" s="200"/>
      <c r="J253" s="210"/>
      <c r="K253" s="497"/>
      <c r="L253" s="497"/>
      <c r="M253" s="497"/>
      <c r="N253" s="497"/>
      <c r="O253" s="510"/>
      <c r="P253" s="497"/>
      <c r="Q253" s="130">
        <v>2</v>
      </c>
      <c r="R253" s="130" t="s">
        <v>525</v>
      </c>
      <c r="S253" s="178" t="s">
        <v>237</v>
      </c>
      <c r="T253" s="178" t="s">
        <v>152</v>
      </c>
      <c r="U253" s="178" t="s">
        <v>153</v>
      </c>
      <c r="V253" s="178" t="str">
        <f t="shared" ref="V253:V257" si="105">IF(AND(T253=$FS$2,U253=$FT$2),"50%",IF(AND(T253=$FS$2,U253=$FT$3),"40%",IF(AND(T253=$FS$3,U253=$FT$2),"40%",IF(AND(T253=$FS$3,U253=$FT$3),"30%",IF(AND(T253=$FS$4,U253=$FT$2),"35%",IF(AND(T253=$FS$4,U253=$FT$3),"25%",""))))))</f>
        <v>40%</v>
      </c>
      <c r="W253" s="178" t="s">
        <v>161</v>
      </c>
      <c r="X253" s="178" t="s">
        <v>155</v>
      </c>
      <c r="Y253" s="178" t="s">
        <v>156</v>
      </c>
      <c r="Z253" s="131">
        <f>IFERROR(IF(AND(S252="Probabilidad",S253="Probabilidad"),(Z252-(+Z252*V253)),IF(S253="Probabilidad",(L252-(+L252*V253)),IF(S253="Impacto",Z252,""))),"")</f>
        <v>0.28799999999999998</v>
      </c>
      <c r="AA253" s="219"/>
      <c r="AB253" s="219"/>
      <c r="AC253" s="497"/>
      <c r="AD253" s="182" t="str">
        <f>IFERROR(IF(AND(S252="Impacto",V253="Impacto"),(AD252-(+AD252*V253)),IF(S253="Impacto",(O252-(+O252*V253)),IF(S253="Probabilidad",AD252,""))),"")</f>
        <v>80%</v>
      </c>
      <c r="AE253" s="219"/>
      <c r="AF253" s="219"/>
      <c r="AG253" s="497"/>
      <c r="AH253" s="497"/>
      <c r="AI253" s="497"/>
      <c r="AJ253" s="178"/>
      <c r="AK253" s="178"/>
      <c r="AL253" s="152"/>
      <c r="AM253" s="178"/>
      <c r="AN253" s="178"/>
      <c r="AO253" s="178"/>
      <c r="AP253" s="497"/>
      <c r="AQ253" s="537"/>
      <c r="FM253" s="89"/>
    </row>
    <row r="254" spans="1:181" s="78" customFormat="1" ht="13.5" customHeight="1" x14ac:dyDescent="0.25">
      <c r="A254" s="200"/>
      <c r="B254" s="128" t="s">
        <v>112</v>
      </c>
      <c r="C254" s="200"/>
      <c r="D254" s="200"/>
      <c r="E254" s="200"/>
      <c r="F254" s="465"/>
      <c r="G254" s="200"/>
      <c r="H254" s="200"/>
      <c r="I254" s="200"/>
      <c r="J254" s="210"/>
      <c r="K254" s="497"/>
      <c r="L254" s="497"/>
      <c r="M254" s="497"/>
      <c r="N254" s="497"/>
      <c r="O254" s="510"/>
      <c r="P254" s="497"/>
      <c r="Q254" s="130">
        <v>3</v>
      </c>
      <c r="R254" s="130" t="s">
        <v>526</v>
      </c>
      <c r="S254" s="178" t="s">
        <v>242</v>
      </c>
      <c r="T254" s="178" t="s">
        <v>174</v>
      </c>
      <c r="U254" s="178" t="s">
        <v>171</v>
      </c>
      <c r="V254" s="178" t="str">
        <f t="shared" si="105"/>
        <v>35%</v>
      </c>
      <c r="W254" s="178" t="s">
        <v>161</v>
      </c>
      <c r="X254" s="178" t="s">
        <v>155</v>
      </c>
      <c r="Y254" s="178" t="s">
        <v>156</v>
      </c>
      <c r="Z254" s="131">
        <f>IFERROR(IF(AND(S253="Probabilidad",S254="Probabilidad"),(Z253-(+Z253*V254)),IF(S254="Probabilidad",(L253-(+L253*V254)),IF(S254="Impacto",Z253,""))),"")</f>
        <v>0.28799999999999998</v>
      </c>
      <c r="AA254" s="219"/>
      <c r="AB254" s="219"/>
      <c r="AC254" s="497"/>
      <c r="AD254" s="182">
        <f t="shared" ref="AD254:AD257" si="106">IFERROR(IF(AND(S253="Impacto",V254="Impacto"),(AD253-(+AD253*V254)),IF(S254="Impacto",(O253-(+O253*V254)),IF(S254="Probabilidad",AD253,""))),"")</f>
        <v>0</v>
      </c>
      <c r="AE254" s="219"/>
      <c r="AF254" s="219"/>
      <c r="AG254" s="497"/>
      <c r="AH254" s="497"/>
      <c r="AI254" s="497"/>
      <c r="AJ254" s="178"/>
      <c r="AK254" s="178"/>
      <c r="AL254" s="152"/>
      <c r="AM254" s="178"/>
      <c r="AN254" s="178"/>
      <c r="AO254" s="178"/>
      <c r="AP254" s="497"/>
      <c r="AQ254" s="537"/>
      <c r="FM254" s="89"/>
    </row>
    <row r="255" spans="1:181" s="78" customFormat="1" ht="13.5" customHeight="1" x14ac:dyDescent="0.25">
      <c r="A255" s="200"/>
      <c r="B255" s="128" t="s">
        <v>112</v>
      </c>
      <c r="C255" s="200"/>
      <c r="D255" s="200"/>
      <c r="E255" s="200"/>
      <c r="F255" s="465"/>
      <c r="G255" s="200"/>
      <c r="H255" s="200"/>
      <c r="I255" s="200"/>
      <c r="J255" s="210"/>
      <c r="K255" s="497"/>
      <c r="L255" s="497"/>
      <c r="M255" s="497"/>
      <c r="N255" s="497"/>
      <c r="O255" s="510"/>
      <c r="P255" s="497"/>
      <c r="Q255" s="130"/>
      <c r="R255" s="130"/>
      <c r="S255" s="178"/>
      <c r="T255" s="178"/>
      <c r="U255" s="178"/>
      <c r="V255" s="178" t="str">
        <f t="shared" si="105"/>
        <v/>
      </c>
      <c r="W255" s="178"/>
      <c r="X255" s="178"/>
      <c r="Y255" s="178"/>
      <c r="Z255" s="131" t="str">
        <f>IFERROR(IF(AND(S254="Probabilidad",S255="Probabilidad"),(Z254-(+Z254*V255)),IF(S255="Probabilidad",(L254-(+L254*V255)),IF(S255="Impacto",Z254,""))),"")</f>
        <v/>
      </c>
      <c r="AA255" s="219"/>
      <c r="AB255" s="219"/>
      <c r="AC255" s="497"/>
      <c r="AD255" s="182" t="str">
        <f t="shared" si="106"/>
        <v/>
      </c>
      <c r="AE255" s="219"/>
      <c r="AF255" s="219"/>
      <c r="AG255" s="497"/>
      <c r="AH255" s="497"/>
      <c r="AI255" s="497"/>
      <c r="AJ255" s="178"/>
      <c r="AK255" s="178"/>
      <c r="AL255" s="152"/>
      <c r="AM255" s="178"/>
      <c r="AN255" s="178"/>
      <c r="AO255" s="178"/>
      <c r="AP255" s="497"/>
      <c r="AQ255" s="537"/>
      <c r="FM255" s="89"/>
    </row>
    <row r="256" spans="1:181" s="78" customFormat="1" ht="13.5" customHeight="1" x14ac:dyDescent="0.25">
      <c r="A256" s="200"/>
      <c r="B256" s="128" t="s">
        <v>112</v>
      </c>
      <c r="C256" s="200"/>
      <c r="D256" s="200"/>
      <c r="E256" s="200"/>
      <c r="F256" s="465"/>
      <c r="G256" s="200"/>
      <c r="H256" s="200"/>
      <c r="I256" s="200"/>
      <c r="J256" s="210"/>
      <c r="K256" s="497"/>
      <c r="L256" s="497"/>
      <c r="M256" s="497"/>
      <c r="N256" s="497"/>
      <c r="O256" s="510"/>
      <c r="P256" s="497"/>
      <c r="Q256" s="130"/>
      <c r="R256" s="130"/>
      <c r="S256" s="178"/>
      <c r="T256" s="178"/>
      <c r="U256" s="178"/>
      <c r="V256" s="178" t="str">
        <f t="shared" si="105"/>
        <v/>
      </c>
      <c r="W256" s="178"/>
      <c r="X256" s="178"/>
      <c r="Y256" s="178"/>
      <c r="Z256" s="131" t="str">
        <f>IFERROR(IF(AND(S255="Probabilidad",S256="Probabilidad"),(Z255-(+Z255*V256)),IF(S256="Probabilidad",(L255-(+L255*V256)),IF(S256="Impacto",Z255,""))),"")</f>
        <v/>
      </c>
      <c r="AA256" s="219"/>
      <c r="AB256" s="219"/>
      <c r="AC256" s="497"/>
      <c r="AD256" s="182" t="str">
        <f t="shared" si="106"/>
        <v/>
      </c>
      <c r="AE256" s="219"/>
      <c r="AF256" s="219"/>
      <c r="AG256" s="497"/>
      <c r="AH256" s="497"/>
      <c r="AI256" s="497"/>
      <c r="AJ256" s="178"/>
      <c r="AK256" s="178"/>
      <c r="AL256" s="152"/>
      <c r="AM256" s="178"/>
      <c r="AN256" s="178"/>
      <c r="AO256" s="178"/>
      <c r="AP256" s="497"/>
      <c r="AQ256" s="537"/>
      <c r="FM256" s="89"/>
    </row>
    <row r="257" spans="1:173" s="78" customFormat="1" ht="13.5" customHeight="1" thickBot="1" x14ac:dyDescent="0.3">
      <c r="A257" s="201"/>
      <c r="B257" s="128" t="s">
        <v>112</v>
      </c>
      <c r="C257" s="201"/>
      <c r="D257" s="201"/>
      <c r="E257" s="201"/>
      <c r="F257" s="466"/>
      <c r="G257" s="201"/>
      <c r="H257" s="201"/>
      <c r="I257" s="201"/>
      <c r="J257" s="211"/>
      <c r="K257" s="498"/>
      <c r="L257" s="498"/>
      <c r="M257" s="498"/>
      <c r="N257" s="498"/>
      <c r="O257" s="511"/>
      <c r="P257" s="498"/>
      <c r="Q257" s="130"/>
      <c r="R257" s="130"/>
      <c r="S257" s="178"/>
      <c r="T257" s="178"/>
      <c r="U257" s="178"/>
      <c r="V257" s="178" t="str">
        <f t="shared" si="105"/>
        <v/>
      </c>
      <c r="W257" s="178"/>
      <c r="X257" s="178"/>
      <c r="Y257" s="178"/>
      <c r="Z257" s="131" t="str">
        <f>IFERROR(IF(AND(S256="Probabilidad",S257="Probabilidad"),(Z256-(+Z256*V257)),IF(S257="Probabilidad",(L256-(+L256*V257)),IF(S257="Impacto",Z256,""))),"")</f>
        <v/>
      </c>
      <c r="AA257" s="220"/>
      <c r="AB257" s="220"/>
      <c r="AC257" s="498"/>
      <c r="AD257" s="182" t="str">
        <f t="shared" si="106"/>
        <v/>
      </c>
      <c r="AE257" s="220"/>
      <c r="AF257" s="220"/>
      <c r="AG257" s="498"/>
      <c r="AH257" s="498"/>
      <c r="AI257" s="498"/>
      <c r="AJ257" s="178"/>
      <c r="AK257" s="178"/>
      <c r="AL257" s="152"/>
      <c r="AM257" s="178"/>
      <c r="AN257" s="178"/>
      <c r="AO257" s="178"/>
      <c r="AP257" s="498"/>
      <c r="AQ257" s="538"/>
      <c r="FM257" s="89"/>
      <c r="FQ257" s="79"/>
    </row>
    <row r="258" spans="1:173" s="78" customFormat="1" ht="13.5" customHeight="1" x14ac:dyDescent="0.25">
      <c r="A258" s="199">
        <v>47</v>
      </c>
      <c r="B258" s="128" t="s">
        <v>112</v>
      </c>
      <c r="C258" s="199" t="s">
        <v>248</v>
      </c>
      <c r="D258" s="199" t="s">
        <v>527</v>
      </c>
      <c r="E258" s="199" t="s">
        <v>528</v>
      </c>
      <c r="F258" s="464" t="s">
        <v>529</v>
      </c>
      <c r="G258" s="199" t="s">
        <v>149</v>
      </c>
      <c r="H258" s="199" t="s">
        <v>268</v>
      </c>
      <c r="I258" s="209" t="s">
        <v>83</v>
      </c>
      <c r="J258" s="209">
        <f>14*12</f>
        <v>168</v>
      </c>
      <c r="K258" s="496" t="str">
        <f>IF(AND(J258&lt;=2),"Muy Baja",IF(AND(J258&gt;=3,J258&lt;=23),"Baja",IF(AND(J258&gt;=24,J258&lt;=499),"Media",IF(AND(J258&gt;=500,J258&lt;=4999),"Alta",IF(AND(J258&gt;=5000),"Muy Alta",FALSE)))))</f>
        <v>Media</v>
      </c>
      <c r="L258" s="496" t="str">
        <f>IF(AND(J258&lt;=2),"20%",IF(AND(J258&gt;=3,J258&lt;=23),"40%",IF(AND(J258&gt;=24,J258&lt;=499),"60%",IF(AND(J258&gt;=500,J258&lt;=4999),"80%",IF(AND(J258&gt;=5000),"100%",FALSE)))))</f>
        <v>60%</v>
      </c>
      <c r="M258" s="496" t="s">
        <v>269</v>
      </c>
      <c r="N258" s="496" t="str">
        <f>IF(AND(M258=$FQ$4),"Leve",IF(AND(M258=$FQ$5),"Menor",IF(AND(M258=$FQ$6),"Moderado",IF(AND(M258=$FQ$7),"mayor",IF(AND(M258=$FQ$8),"Catastrófico",IF(AND(M258=$FQ$10),"Leve",IF(AND(M258=$FQ$11),"Menor",IF(AND(M258=$FQ$12),"Moderado",IF(AND(M258=$FQ$13),"Mayor",IF(AND(M258=$FQ$14),"Catastrófico",FALSE))))))))))</f>
        <v>mayor</v>
      </c>
      <c r="O258" s="509" t="str">
        <f>IF(AND(N258="Leve"),"20%",IF(AND(N258="Menor"),"40%",IF(AND(N258="Moderado"),"60%",IF(AND(N258="Mayor"),"80%",IF(AND(N258="Catastrófico"),"100%","")))))</f>
        <v>80%</v>
      </c>
      <c r="P258" s="496" t="str">
        <f>INDEX('[6]MATRIZ RIESGO'!$D$6:$H$10,MATCH(K258,'[6]MATRIZ RIESGO'!$C$6:$C$10,),MATCH(N258,'[6]MATRIZ RIESGO'!$D$5:$H$5,))</f>
        <v>Alto</v>
      </c>
      <c r="Q258" s="130">
        <v>1</v>
      </c>
      <c r="R258" s="130" t="s">
        <v>530</v>
      </c>
      <c r="S258" s="178" t="s">
        <v>237</v>
      </c>
      <c r="T258" s="178" t="s">
        <v>152</v>
      </c>
      <c r="U258" s="178" t="s">
        <v>153</v>
      </c>
      <c r="V258" s="178" t="str">
        <f>IF(AND(T258=$FS$2,U258=$FT$2),"50%",IF(AND(T258=$FS$2,U258=$FT$3),"40%",IF(AND(T258=$FS$3,U258=$FT$2),"40%",IF(AND(T258=$FS$3,U258=$FT$3),"30%",IF(AND(T258=$FS$4,U258=$FT$2),"35%",IF(AND(T258=$FS$4,U258=$FT$3),"25%",""))))))</f>
        <v>40%</v>
      </c>
      <c r="W258" s="178" t="s">
        <v>154</v>
      </c>
      <c r="X258" s="178" t="s">
        <v>155</v>
      </c>
      <c r="Y258" s="178" t="s">
        <v>156</v>
      </c>
      <c r="Z258" s="131">
        <f>IFERROR(IF(S258="Probabilidad",(L258-(+L258*V258)),IF(S258="Impacto",L258,"")),"")</f>
        <v>0.36</v>
      </c>
      <c r="AA258" s="218">
        <f>LOOKUP(2,1/(Z258:Z263&lt;&gt;""),Z258:Z263)</f>
        <v>0.216</v>
      </c>
      <c r="AB258" s="218">
        <f t="shared" ref="AB258" si="107">AA258*1</f>
        <v>0.216</v>
      </c>
      <c r="AC258" s="496" t="str">
        <f t="shared" ref="AC258" si="108">IF(AND(AB258&lt;=20%),"Muy Baja",IF(AND(AB258&gt;=21%,AB258&lt;=40%),"Baja",IF(AND(AB258&gt;=41%,AB258&lt;=60%),"Media",IF(AND(AB258&gt;=61%,AB258&lt;=80%),"Alta",IF(AND(AB258&gt;=81%,AB258&gt;=100%),"Muy Alta",FALSE)))))</f>
        <v>Baja</v>
      </c>
      <c r="AD258" s="182" t="str">
        <f>IFERROR(IF(S258="Impacto",(O258-(+O258*V258)),IF(S258="Probabilidad",O258,"")),"")</f>
        <v>80%</v>
      </c>
      <c r="AE258" s="218" t="str">
        <f>LOOKUP(2,1/(AD258:AD263&lt;&gt;""),AD258:AD263)</f>
        <v>80%</v>
      </c>
      <c r="AF258" s="218">
        <f>AE258*1</f>
        <v>0.8</v>
      </c>
      <c r="AG258" s="496" t="str">
        <f t="shared" ref="AG258" si="109">CHOOSE((AF258&gt;=0%)+(AF258&gt;=21%)+(AF258&gt;=41%)+(AF258&gt;=61%)+(AF258&gt;=81%),"Leve","Menor","Moderado","Mayor","Catastrófico")</f>
        <v>Mayor</v>
      </c>
      <c r="AH258" s="496" t="str">
        <f>INDEX('[6]MATRIZ RIESGO'!$D$6:$H$10,MATCH(AC258,'[6]MATRIZ RIESGO'!$C$6:$C$10,),MATCH(AG258,'[6]MATRIZ RIESGO'!$D$5:$H$5,))</f>
        <v>Alto</v>
      </c>
      <c r="AI258" s="496" t="s">
        <v>111</v>
      </c>
      <c r="AJ258" s="178"/>
      <c r="AK258" s="178"/>
      <c r="AL258" s="152"/>
      <c r="AM258" s="178"/>
      <c r="AN258" s="178"/>
      <c r="AO258" s="178"/>
      <c r="AP258" s="496" t="s">
        <v>184</v>
      </c>
      <c r="AQ258" s="539" t="s">
        <v>113</v>
      </c>
      <c r="FM258" s="89"/>
      <c r="FQ258" s="80"/>
    </row>
    <row r="259" spans="1:173" s="78" customFormat="1" ht="13.5" customHeight="1" x14ac:dyDescent="0.25">
      <c r="A259" s="200"/>
      <c r="B259" s="128" t="s">
        <v>112</v>
      </c>
      <c r="C259" s="200"/>
      <c r="D259" s="200"/>
      <c r="E259" s="200"/>
      <c r="F259" s="465"/>
      <c r="G259" s="200"/>
      <c r="H259" s="200"/>
      <c r="I259" s="210"/>
      <c r="J259" s="210"/>
      <c r="K259" s="497"/>
      <c r="L259" s="497"/>
      <c r="M259" s="497"/>
      <c r="N259" s="497"/>
      <c r="O259" s="510"/>
      <c r="P259" s="497"/>
      <c r="Q259" s="130">
        <v>2</v>
      </c>
      <c r="R259" s="130" t="s">
        <v>531</v>
      </c>
      <c r="S259" s="178" t="s">
        <v>237</v>
      </c>
      <c r="T259" s="178" t="s">
        <v>152</v>
      </c>
      <c r="U259" s="178" t="s">
        <v>153</v>
      </c>
      <c r="V259" s="178" t="str">
        <f t="shared" ref="V259:V263" si="110">IF(AND(T259=$FS$2,U259=$FT$2),"50%",IF(AND(T259=$FS$2,U259=$FT$3),"40%",IF(AND(T259=$FS$3,U259=$FT$2),"40%",IF(AND(T259=$FS$3,U259=$FT$3),"30%",IF(AND(T259=$FS$4,U259=$FT$2),"35%",IF(AND(T259=$FS$4,U259=$FT$3),"25%",""))))))</f>
        <v>40%</v>
      </c>
      <c r="W259" s="178" t="s">
        <v>154</v>
      </c>
      <c r="X259" s="178" t="s">
        <v>155</v>
      </c>
      <c r="Y259" s="178" t="s">
        <v>156</v>
      </c>
      <c r="Z259" s="131">
        <f>IFERROR(IF(AND(S258="Probabilidad",S259="Probabilidad"),(Z258-(+Z258*V259)),IF(S259="Probabilidad",(L258-(+L258*V259)),IF(S259="Impacto",Z258,""))),"")</f>
        <v>0.216</v>
      </c>
      <c r="AA259" s="219"/>
      <c r="AB259" s="219"/>
      <c r="AC259" s="497"/>
      <c r="AD259" s="182" t="str">
        <f>IFERROR(IF(AND(S258="Impacto",V259="Impacto"),(AD258-(+AD258*V259)),IF(S259="Impacto",(O258-(+O258*V259)),IF(S259="Probabilidad",AD258,""))),"")</f>
        <v>80%</v>
      </c>
      <c r="AE259" s="219"/>
      <c r="AF259" s="219"/>
      <c r="AG259" s="497"/>
      <c r="AH259" s="497"/>
      <c r="AI259" s="497"/>
      <c r="AJ259" s="178"/>
      <c r="AK259" s="178"/>
      <c r="AL259" s="152"/>
      <c r="AM259" s="178"/>
      <c r="AN259" s="178"/>
      <c r="AO259" s="178"/>
      <c r="AP259" s="497"/>
      <c r="AQ259" s="537"/>
      <c r="FM259" s="89"/>
    </row>
    <row r="260" spans="1:173" s="78" customFormat="1" ht="13.5" customHeight="1" x14ac:dyDescent="0.25">
      <c r="A260" s="200"/>
      <c r="B260" s="128" t="s">
        <v>112</v>
      </c>
      <c r="C260" s="200"/>
      <c r="D260" s="200"/>
      <c r="E260" s="200"/>
      <c r="F260" s="465"/>
      <c r="G260" s="200"/>
      <c r="H260" s="200"/>
      <c r="I260" s="210"/>
      <c r="J260" s="210"/>
      <c r="K260" s="497"/>
      <c r="L260" s="497"/>
      <c r="M260" s="497"/>
      <c r="N260" s="497"/>
      <c r="O260" s="510"/>
      <c r="P260" s="497"/>
      <c r="Q260" s="130"/>
      <c r="R260" s="130"/>
      <c r="S260" s="178"/>
      <c r="T260" s="178"/>
      <c r="U260" s="178"/>
      <c r="V260" s="178" t="str">
        <f t="shared" si="110"/>
        <v/>
      </c>
      <c r="W260" s="178"/>
      <c r="X260" s="178"/>
      <c r="Y260" s="178"/>
      <c r="Z260" s="131" t="str">
        <f>IFERROR(IF(AND(S259="Probabilidad",S260="Probabilidad"),(Z259-(+Z259*V260)),IF(S260="Probabilidad",(L259-(+L259*V260)),IF(S260="Impacto",Z259,""))),"")</f>
        <v/>
      </c>
      <c r="AA260" s="219"/>
      <c r="AB260" s="219"/>
      <c r="AC260" s="497"/>
      <c r="AD260" s="182" t="str">
        <f t="shared" ref="AD260:AD263" si="111">IFERROR(IF(AND(S259="Impacto",V260="Impacto"),(AD259-(+AD259*V260)),IF(S260="Impacto",(O259-(+O259*V260)),IF(S260="Probabilidad",AD259,""))),"")</f>
        <v/>
      </c>
      <c r="AE260" s="219"/>
      <c r="AF260" s="219"/>
      <c r="AG260" s="497"/>
      <c r="AH260" s="497"/>
      <c r="AI260" s="497"/>
      <c r="AJ260" s="178"/>
      <c r="AK260" s="178"/>
      <c r="AL260" s="152"/>
      <c r="AM260" s="178"/>
      <c r="AN260" s="178"/>
      <c r="AO260" s="178"/>
      <c r="AP260" s="497"/>
      <c r="AQ260" s="537"/>
      <c r="FM260" s="89"/>
    </row>
    <row r="261" spans="1:173" s="78" customFormat="1" ht="13.5" customHeight="1" x14ac:dyDescent="0.25">
      <c r="A261" s="200"/>
      <c r="B261" s="128" t="s">
        <v>112</v>
      </c>
      <c r="C261" s="200"/>
      <c r="D261" s="200"/>
      <c r="E261" s="200"/>
      <c r="F261" s="465"/>
      <c r="G261" s="200"/>
      <c r="H261" s="200"/>
      <c r="I261" s="210"/>
      <c r="J261" s="210"/>
      <c r="K261" s="497"/>
      <c r="L261" s="497"/>
      <c r="M261" s="497"/>
      <c r="N261" s="497"/>
      <c r="O261" s="510"/>
      <c r="P261" s="497"/>
      <c r="Q261" s="130"/>
      <c r="R261" s="130"/>
      <c r="S261" s="178"/>
      <c r="T261" s="178"/>
      <c r="U261" s="178"/>
      <c r="V261" s="178" t="str">
        <f t="shared" si="110"/>
        <v/>
      </c>
      <c r="W261" s="178"/>
      <c r="X261" s="178"/>
      <c r="Y261" s="178"/>
      <c r="Z261" s="131" t="str">
        <f>IFERROR(IF(AND(S260="Probabilidad",S261="Probabilidad"),(Z260-(+Z260*V261)),IF(S261="Probabilidad",(L260-(+L260*V261)),IF(S261="Impacto",Z260,""))),"")</f>
        <v/>
      </c>
      <c r="AA261" s="219"/>
      <c r="AB261" s="219"/>
      <c r="AC261" s="497"/>
      <c r="AD261" s="182" t="str">
        <f t="shared" si="111"/>
        <v/>
      </c>
      <c r="AE261" s="219"/>
      <c r="AF261" s="219"/>
      <c r="AG261" s="497"/>
      <c r="AH261" s="497"/>
      <c r="AI261" s="497"/>
      <c r="AJ261" s="178"/>
      <c r="AK261" s="178"/>
      <c r="AL261" s="152"/>
      <c r="AM261" s="178"/>
      <c r="AN261" s="178"/>
      <c r="AO261" s="178"/>
      <c r="AP261" s="497"/>
      <c r="AQ261" s="537"/>
      <c r="FM261" s="89"/>
    </row>
    <row r="262" spans="1:173" s="78" customFormat="1" ht="13.5" customHeight="1" x14ac:dyDescent="0.25">
      <c r="A262" s="200"/>
      <c r="B262" s="128" t="s">
        <v>112</v>
      </c>
      <c r="C262" s="200"/>
      <c r="D262" s="200"/>
      <c r="E262" s="200"/>
      <c r="F262" s="465"/>
      <c r="G262" s="200"/>
      <c r="H262" s="200"/>
      <c r="I262" s="210"/>
      <c r="J262" s="210"/>
      <c r="K262" s="497"/>
      <c r="L262" s="497"/>
      <c r="M262" s="497"/>
      <c r="N262" s="497"/>
      <c r="O262" s="510"/>
      <c r="P262" s="497"/>
      <c r="Q262" s="130"/>
      <c r="R262" s="130"/>
      <c r="S262" s="178"/>
      <c r="T262" s="178"/>
      <c r="U262" s="178"/>
      <c r="V262" s="178" t="str">
        <f t="shared" si="110"/>
        <v/>
      </c>
      <c r="W262" s="178"/>
      <c r="X262" s="178"/>
      <c r="Y262" s="178"/>
      <c r="Z262" s="131" t="str">
        <f>IFERROR(IF(AND(S261="Probabilidad",S262="Probabilidad"),(Z261-(+Z261*V262)),IF(S262="Probabilidad",(L261-(+L261*V262)),IF(S262="Impacto",Z261,""))),"")</f>
        <v/>
      </c>
      <c r="AA262" s="219"/>
      <c r="AB262" s="219"/>
      <c r="AC262" s="497"/>
      <c r="AD262" s="182" t="str">
        <f t="shared" si="111"/>
        <v/>
      </c>
      <c r="AE262" s="219"/>
      <c r="AF262" s="219"/>
      <c r="AG262" s="497"/>
      <c r="AH262" s="497"/>
      <c r="AI262" s="497"/>
      <c r="AJ262" s="178"/>
      <c r="AK262" s="178"/>
      <c r="AL262" s="152"/>
      <c r="AM262" s="178"/>
      <c r="AN262" s="178"/>
      <c r="AO262" s="178"/>
      <c r="AP262" s="497"/>
      <c r="AQ262" s="537"/>
      <c r="FM262" s="89"/>
    </row>
    <row r="263" spans="1:173" s="78" customFormat="1" ht="13.5" customHeight="1" thickBot="1" x14ac:dyDescent="0.3">
      <c r="A263" s="201"/>
      <c r="B263" s="128" t="s">
        <v>112</v>
      </c>
      <c r="C263" s="201"/>
      <c r="D263" s="201"/>
      <c r="E263" s="201"/>
      <c r="F263" s="466"/>
      <c r="G263" s="201"/>
      <c r="H263" s="201"/>
      <c r="I263" s="211"/>
      <c r="J263" s="211"/>
      <c r="K263" s="498"/>
      <c r="L263" s="498"/>
      <c r="M263" s="498"/>
      <c r="N263" s="498"/>
      <c r="O263" s="511"/>
      <c r="P263" s="498"/>
      <c r="Q263" s="130"/>
      <c r="R263" s="130"/>
      <c r="S263" s="178"/>
      <c r="T263" s="178"/>
      <c r="U263" s="178"/>
      <c r="V263" s="178" t="str">
        <f t="shared" si="110"/>
        <v/>
      </c>
      <c r="W263" s="178"/>
      <c r="X263" s="178"/>
      <c r="Y263" s="178"/>
      <c r="Z263" s="131" t="str">
        <f>IFERROR(IF(AND(S262="Probabilidad",S263="Probabilidad"),(Z262-(+Z262*V263)),IF(S263="Probabilidad",(L262-(+L262*V263)),IF(S263="Impacto",Z262,""))),"")</f>
        <v/>
      </c>
      <c r="AA263" s="220"/>
      <c r="AB263" s="220"/>
      <c r="AC263" s="498"/>
      <c r="AD263" s="182" t="str">
        <f t="shared" si="111"/>
        <v/>
      </c>
      <c r="AE263" s="220"/>
      <c r="AF263" s="220"/>
      <c r="AG263" s="498"/>
      <c r="AH263" s="498"/>
      <c r="AI263" s="498"/>
      <c r="AJ263" s="178"/>
      <c r="AK263" s="178"/>
      <c r="AL263" s="152"/>
      <c r="AM263" s="178"/>
      <c r="AN263" s="178"/>
      <c r="AO263" s="178"/>
      <c r="AP263" s="498"/>
      <c r="AQ263" s="538"/>
      <c r="FM263" s="89"/>
      <c r="FQ263" s="79"/>
    </row>
    <row r="264" spans="1:173" s="78" customFormat="1" ht="13.5" customHeight="1" x14ac:dyDescent="0.25">
      <c r="A264" s="199">
        <v>48</v>
      </c>
      <c r="B264" s="128" t="s">
        <v>112</v>
      </c>
      <c r="C264" s="199" t="s">
        <v>260</v>
      </c>
      <c r="D264" s="199" t="s">
        <v>532</v>
      </c>
      <c r="E264" s="199" t="s">
        <v>533</v>
      </c>
      <c r="F264" s="464" t="s">
        <v>185</v>
      </c>
      <c r="G264" s="199" t="s">
        <v>149</v>
      </c>
      <c r="H264" s="199" t="s">
        <v>268</v>
      </c>
      <c r="I264" s="209" t="s">
        <v>83</v>
      </c>
      <c r="J264" s="209">
        <v>2</v>
      </c>
      <c r="K264" s="496" t="str">
        <f>IF(AND(J264&lt;=2),"Muy Baja",IF(AND(J264&gt;=3,J264&lt;=23),"Baja",IF(AND(J264&gt;=24,J264&lt;=499),"Media",IF(AND(J264&gt;=500,J264&lt;=4999),"Alta",IF(AND(J264&gt;=5000),"Muy Alta",FALSE)))))</f>
        <v>Muy Baja</v>
      </c>
      <c r="L264" s="496" t="str">
        <f>IF(AND(J264&lt;=2),"20%",IF(AND(J264&gt;=3,J264&lt;=23),"40%",IF(AND(J264&gt;=24,J264&lt;=499),"60%",IF(AND(J264&gt;=500,J264&lt;=4999),"80%",IF(AND(J264&gt;=5000),"100%",FALSE)))))</f>
        <v>20%</v>
      </c>
      <c r="M264" s="496" t="s">
        <v>186</v>
      </c>
      <c r="N264" s="496" t="str">
        <f>IF(AND(M264=$FQ$4),"Leve",IF(AND(M264=$FQ$5),"Menor",IF(AND(M264=$FQ$6),"Moderado",IF(AND(M264=$FQ$7),"mayor",IF(AND(M264=$FQ$8),"Catastrófico",IF(AND(M264=$FQ$10),"Leve",IF(AND(M264=$FQ$11),"Menor",IF(AND(M264=$FQ$12),"Moderado",IF(AND(M264=$FQ$13),"Mayor",IF(AND(M264=$FQ$14),"Catastrófico",FALSE))))))))))</f>
        <v>Moderado</v>
      </c>
      <c r="O264" s="509" t="str">
        <f>IF(AND(N264="Leve"),"20%",IF(AND(N264="Menor"),"40%",IF(AND(N264="Moderado"),"60%",IF(AND(N264="Mayor"),"80%",IF(AND(N264="Catastrófico"),"100%","")))))</f>
        <v>60%</v>
      </c>
      <c r="P264" s="496" t="str">
        <f>INDEX('[6]MATRIZ RIESGO'!$D$6:$H$10,MATCH(K264,'[6]MATRIZ RIESGO'!$C$6:$C$10,),MATCH(N264,'[6]MATRIZ RIESGO'!$D$5:$H$5,))</f>
        <v>Moderado</v>
      </c>
      <c r="Q264" s="130">
        <v>1</v>
      </c>
      <c r="R264" s="130" t="s">
        <v>187</v>
      </c>
      <c r="S264" s="178" t="s">
        <v>237</v>
      </c>
      <c r="T264" s="178" t="s">
        <v>152</v>
      </c>
      <c r="U264" s="178" t="s">
        <v>153</v>
      </c>
      <c r="V264" s="178" t="str">
        <f>IF(AND(T264=$FS$2,U264=$FT$2),"50%",IF(AND(T264=$FS$2,U264=$FT$3),"40%",IF(AND(T264=$FS$3,U264=$FT$2),"40%",IF(AND(T264=$FS$3,U264=$FT$3),"30%",IF(AND(T264=$FS$4,U264=$FT$2),"35%",IF(AND(T264=$FS$4,U264=$FT$3),"25%",""))))))</f>
        <v>40%</v>
      </c>
      <c r="W264" s="178" t="s">
        <v>154</v>
      </c>
      <c r="X264" s="178" t="s">
        <v>164</v>
      </c>
      <c r="Y264" s="178" t="s">
        <v>156</v>
      </c>
      <c r="Z264" s="131">
        <f>IFERROR(IF(S264="Probabilidad",(L264-(+L264*V264)),IF(S264="Impacto",L264,"")),"")</f>
        <v>0.12</v>
      </c>
      <c r="AA264" s="218">
        <f>LOOKUP(2,1/(Z264:Z269&lt;&gt;""),Z264:Z269)</f>
        <v>0.12</v>
      </c>
      <c r="AB264" s="218">
        <f t="shared" ref="AB264" si="112">AA264*1</f>
        <v>0.12</v>
      </c>
      <c r="AC264" s="496" t="str">
        <f t="shared" ref="AC264" si="113">IF(AND(AB264&lt;=20%),"Muy Baja",IF(AND(AB264&gt;=21%,AB264&lt;=40%),"Baja",IF(AND(AB264&gt;=41%,AB264&lt;=60%),"Media",IF(AND(AB264&gt;=61%,AB264&lt;=80%),"Alta",IF(AND(AB264&gt;=81%,AB264&gt;=100%),"Muy Alta",FALSE)))))</f>
        <v>Muy Baja</v>
      </c>
      <c r="AD264" s="182" t="str">
        <f>IFERROR(IF(S264="Impacto",(O264-(+O264*V264)),IF(S264="Probabilidad",O264,"")),"")</f>
        <v>60%</v>
      </c>
      <c r="AE264" s="218" t="str">
        <f>LOOKUP(2,1/(AD264:AD269&lt;&gt;""),AD264:AD269)</f>
        <v>60%</v>
      </c>
      <c r="AF264" s="218">
        <f>AE264*1</f>
        <v>0.6</v>
      </c>
      <c r="AG264" s="496" t="str">
        <f t="shared" ref="AG264" si="114">CHOOSE((AF264&gt;=0%)+(AF264&gt;=21%)+(AF264&gt;=41%)+(AF264&gt;=61%)+(AF264&gt;=81%),"Leve","Menor","Moderado","Mayor","Catastrófico")</f>
        <v>Moderado</v>
      </c>
      <c r="AH264" s="496" t="str">
        <f>INDEX('[6]MATRIZ RIESGO'!$D$6:$H$10,MATCH(AC264,'[6]MATRIZ RIESGO'!$C$6:$C$10,),MATCH(AG264,'[6]MATRIZ RIESGO'!$D$5:$H$5,))</f>
        <v>Moderado</v>
      </c>
      <c r="AI264" s="496" t="s">
        <v>111</v>
      </c>
      <c r="AJ264" s="178"/>
      <c r="AK264" s="178"/>
      <c r="AL264" s="152"/>
      <c r="AM264" s="178"/>
      <c r="AN264" s="178"/>
      <c r="AO264" s="178"/>
      <c r="AP264" s="496"/>
      <c r="AQ264" s="539" t="s">
        <v>113</v>
      </c>
      <c r="FM264" s="89"/>
      <c r="FQ264" s="80"/>
    </row>
    <row r="265" spans="1:173" s="78" customFormat="1" ht="13.5" customHeight="1" x14ac:dyDescent="0.25">
      <c r="A265" s="200"/>
      <c r="B265" s="128" t="s">
        <v>112</v>
      </c>
      <c r="C265" s="200"/>
      <c r="D265" s="200"/>
      <c r="E265" s="200"/>
      <c r="F265" s="465"/>
      <c r="G265" s="200"/>
      <c r="H265" s="200"/>
      <c r="I265" s="210"/>
      <c r="J265" s="210"/>
      <c r="K265" s="497"/>
      <c r="L265" s="497"/>
      <c r="M265" s="497"/>
      <c r="N265" s="497"/>
      <c r="O265" s="510"/>
      <c r="P265" s="497"/>
      <c r="Q265" s="130"/>
      <c r="R265" s="130"/>
      <c r="S265" s="178"/>
      <c r="T265" s="178"/>
      <c r="U265" s="178"/>
      <c r="V265" s="178" t="str">
        <f t="shared" ref="V265:V269" si="115">IF(AND(T265=$FS$2,U265=$FT$2),"50%",IF(AND(T265=$FS$2,U265=$FT$3),"40%",IF(AND(T265=$FS$3,U265=$FT$2),"40%",IF(AND(T265=$FS$3,U265=$FT$3),"30%",IF(AND(T265=$FS$4,U265=$FT$2),"35%",IF(AND(T265=$FS$4,U265=$FT$3),"25%",""))))))</f>
        <v/>
      </c>
      <c r="W265" s="178"/>
      <c r="X265" s="178"/>
      <c r="Y265" s="178"/>
      <c r="Z265" s="131" t="str">
        <f>IFERROR(IF(AND(S264="Probabilidad",S265="Probabilidad"),(Z264-(+Z264*V265)),IF(S265="Probabilidad",(L264-(+L264*V265)),IF(S265="Impacto",Z264,""))),"")</f>
        <v/>
      </c>
      <c r="AA265" s="219"/>
      <c r="AB265" s="219"/>
      <c r="AC265" s="497"/>
      <c r="AD265" s="182" t="str">
        <f>IFERROR(IF(AND(S264="Impacto",V265="Impacto"),(AD264-(+AD264*V265)),IF(S265="Impacto",(O264-(+O264*V265)),IF(S265="Probabilidad",AD264,""))),"")</f>
        <v/>
      </c>
      <c r="AE265" s="219"/>
      <c r="AF265" s="219"/>
      <c r="AG265" s="497"/>
      <c r="AH265" s="497"/>
      <c r="AI265" s="497"/>
      <c r="AJ265" s="178"/>
      <c r="AK265" s="178"/>
      <c r="AL265" s="152"/>
      <c r="AM265" s="178"/>
      <c r="AN265" s="178"/>
      <c r="AO265" s="178"/>
      <c r="AP265" s="497"/>
      <c r="AQ265" s="537"/>
      <c r="FM265" s="89"/>
    </row>
    <row r="266" spans="1:173" s="78" customFormat="1" ht="13.5" customHeight="1" x14ac:dyDescent="0.25">
      <c r="A266" s="200"/>
      <c r="B266" s="128" t="s">
        <v>112</v>
      </c>
      <c r="C266" s="200"/>
      <c r="D266" s="200"/>
      <c r="E266" s="200"/>
      <c r="F266" s="465"/>
      <c r="G266" s="200"/>
      <c r="H266" s="200"/>
      <c r="I266" s="210"/>
      <c r="J266" s="210"/>
      <c r="K266" s="497"/>
      <c r="L266" s="497"/>
      <c r="M266" s="497"/>
      <c r="N266" s="497"/>
      <c r="O266" s="510"/>
      <c r="P266" s="497"/>
      <c r="Q266" s="130"/>
      <c r="R266" s="130"/>
      <c r="S266" s="178"/>
      <c r="T266" s="178"/>
      <c r="U266" s="178"/>
      <c r="V266" s="178" t="str">
        <f t="shared" si="115"/>
        <v/>
      </c>
      <c r="W266" s="178"/>
      <c r="X266" s="178"/>
      <c r="Y266" s="178"/>
      <c r="Z266" s="131" t="str">
        <f>IFERROR(IF(AND(S265="Probabilidad",S266="Probabilidad"),(Z265-(+Z265*V266)),IF(S266="Probabilidad",(L265-(+L265*V266)),IF(S266="Impacto",Z265,""))),"")</f>
        <v/>
      </c>
      <c r="AA266" s="219"/>
      <c r="AB266" s="219"/>
      <c r="AC266" s="497"/>
      <c r="AD266" s="182" t="str">
        <f t="shared" ref="AD266:AD269" si="116">IFERROR(IF(AND(S265="Impacto",V266="Impacto"),(AD265-(+AD265*V266)),IF(S266="Impacto",(O265-(+O265*V266)),IF(S266="Probabilidad",AD265,""))),"")</f>
        <v/>
      </c>
      <c r="AE266" s="219"/>
      <c r="AF266" s="219"/>
      <c r="AG266" s="497"/>
      <c r="AH266" s="497"/>
      <c r="AI266" s="497"/>
      <c r="AJ266" s="178"/>
      <c r="AK266" s="178"/>
      <c r="AL266" s="152"/>
      <c r="AM266" s="178"/>
      <c r="AN266" s="178"/>
      <c r="AO266" s="178"/>
      <c r="AP266" s="497"/>
      <c r="AQ266" s="537"/>
      <c r="FM266" s="89"/>
    </row>
    <row r="267" spans="1:173" s="78" customFormat="1" ht="13.5" customHeight="1" x14ac:dyDescent="0.25">
      <c r="A267" s="200"/>
      <c r="B267" s="128" t="s">
        <v>112</v>
      </c>
      <c r="C267" s="200"/>
      <c r="D267" s="200"/>
      <c r="E267" s="200"/>
      <c r="F267" s="465"/>
      <c r="G267" s="200"/>
      <c r="H267" s="200"/>
      <c r="I267" s="210"/>
      <c r="J267" s="210"/>
      <c r="K267" s="497"/>
      <c r="L267" s="497"/>
      <c r="M267" s="497"/>
      <c r="N267" s="497"/>
      <c r="O267" s="510"/>
      <c r="P267" s="497"/>
      <c r="Q267" s="130"/>
      <c r="R267" s="130"/>
      <c r="S267" s="178"/>
      <c r="T267" s="178"/>
      <c r="U267" s="178"/>
      <c r="V267" s="178" t="str">
        <f t="shared" si="115"/>
        <v/>
      </c>
      <c r="W267" s="178"/>
      <c r="X267" s="178"/>
      <c r="Y267" s="178"/>
      <c r="Z267" s="131" t="str">
        <f>IFERROR(IF(AND(S266="Probabilidad",S267="Probabilidad"),(Z266-(+Z266*V267)),IF(S267="Probabilidad",(L266-(+L266*V267)),IF(S267="Impacto",Z266,""))),"")</f>
        <v/>
      </c>
      <c r="AA267" s="219"/>
      <c r="AB267" s="219"/>
      <c r="AC267" s="497"/>
      <c r="AD267" s="182" t="str">
        <f t="shared" si="116"/>
        <v/>
      </c>
      <c r="AE267" s="219"/>
      <c r="AF267" s="219"/>
      <c r="AG267" s="497"/>
      <c r="AH267" s="497"/>
      <c r="AI267" s="497"/>
      <c r="AJ267" s="178"/>
      <c r="AK267" s="178"/>
      <c r="AL267" s="152"/>
      <c r="AM267" s="178"/>
      <c r="AN267" s="178"/>
      <c r="AO267" s="178"/>
      <c r="AP267" s="497"/>
      <c r="AQ267" s="537"/>
      <c r="FM267" s="89"/>
    </row>
    <row r="268" spans="1:173" s="78" customFormat="1" ht="13.5" customHeight="1" x14ac:dyDescent="0.25">
      <c r="A268" s="200"/>
      <c r="B268" s="128" t="s">
        <v>112</v>
      </c>
      <c r="C268" s="200"/>
      <c r="D268" s="200"/>
      <c r="E268" s="200"/>
      <c r="F268" s="465"/>
      <c r="G268" s="200"/>
      <c r="H268" s="200"/>
      <c r="I268" s="210"/>
      <c r="J268" s="210"/>
      <c r="K268" s="497"/>
      <c r="L268" s="497"/>
      <c r="M268" s="497"/>
      <c r="N268" s="497"/>
      <c r="O268" s="510"/>
      <c r="P268" s="497"/>
      <c r="Q268" s="130"/>
      <c r="R268" s="130"/>
      <c r="S268" s="178"/>
      <c r="T268" s="178"/>
      <c r="U268" s="178"/>
      <c r="V268" s="178" t="str">
        <f t="shared" si="115"/>
        <v/>
      </c>
      <c r="W268" s="178"/>
      <c r="X268" s="178"/>
      <c r="Y268" s="178"/>
      <c r="Z268" s="131" t="str">
        <f>IFERROR(IF(AND(S267="Probabilidad",S268="Probabilidad"),(Z267-(+Z267*V268)),IF(S268="Probabilidad",(L267-(+L267*V268)),IF(S268="Impacto",Z267,""))),"")</f>
        <v/>
      </c>
      <c r="AA268" s="219"/>
      <c r="AB268" s="219"/>
      <c r="AC268" s="497"/>
      <c r="AD268" s="182" t="str">
        <f t="shared" si="116"/>
        <v/>
      </c>
      <c r="AE268" s="219"/>
      <c r="AF268" s="219"/>
      <c r="AG268" s="497"/>
      <c r="AH268" s="497"/>
      <c r="AI268" s="497"/>
      <c r="AJ268" s="178"/>
      <c r="AK268" s="178"/>
      <c r="AL268" s="152"/>
      <c r="AM268" s="178"/>
      <c r="AN268" s="178"/>
      <c r="AO268" s="178"/>
      <c r="AP268" s="497"/>
      <c r="AQ268" s="537"/>
      <c r="FM268" s="89"/>
    </row>
    <row r="269" spans="1:173" s="78" customFormat="1" ht="13.5" customHeight="1" thickBot="1" x14ac:dyDescent="0.3">
      <c r="A269" s="201"/>
      <c r="B269" s="128" t="s">
        <v>112</v>
      </c>
      <c r="C269" s="201"/>
      <c r="D269" s="201"/>
      <c r="E269" s="201"/>
      <c r="F269" s="466"/>
      <c r="G269" s="201"/>
      <c r="H269" s="201"/>
      <c r="I269" s="211"/>
      <c r="J269" s="211"/>
      <c r="K269" s="498"/>
      <c r="L269" s="498"/>
      <c r="M269" s="498"/>
      <c r="N269" s="498"/>
      <c r="O269" s="511"/>
      <c r="P269" s="498"/>
      <c r="Q269" s="130"/>
      <c r="R269" s="130"/>
      <c r="S269" s="178"/>
      <c r="T269" s="178"/>
      <c r="U269" s="178"/>
      <c r="V269" s="178" t="str">
        <f t="shared" si="115"/>
        <v/>
      </c>
      <c r="W269" s="178"/>
      <c r="X269" s="178"/>
      <c r="Y269" s="178"/>
      <c r="Z269" s="131" t="str">
        <f>IFERROR(IF(AND(S268="Probabilidad",S269="Probabilidad"),(Z268-(+Z268*V269)),IF(S269="Probabilidad",(L268-(+L268*V269)),IF(S269="Impacto",Z268,""))),"")</f>
        <v/>
      </c>
      <c r="AA269" s="220"/>
      <c r="AB269" s="220"/>
      <c r="AC269" s="498"/>
      <c r="AD269" s="182" t="str">
        <f t="shared" si="116"/>
        <v/>
      </c>
      <c r="AE269" s="220"/>
      <c r="AF269" s="220"/>
      <c r="AG269" s="498"/>
      <c r="AH269" s="498"/>
      <c r="AI269" s="498"/>
      <c r="AJ269" s="178"/>
      <c r="AK269" s="178"/>
      <c r="AL269" s="152"/>
      <c r="AM269" s="178"/>
      <c r="AN269" s="178"/>
      <c r="AO269" s="178"/>
      <c r="AP269" s="498"/>
      <c r="AQ269" s="538"/>
      <c r="FM269" s="89"/>
      <c r="FQ269" s="79"/>
    </row>
    <row r="270" spans="1:173" s="78" customFormat="1" ht="13.5" customHeight="1" x14ac:dyDescent="0.25">
      <c r="A270" s="567">
        <v>49</v>
      </c>
      <c r="B270" s="126" t="s">
        <v>115</v>
      </c>
      <c r="C270" s="472" t="s">
        <v>248</v>
      </c>
      <c r="D270" s="472" t="s">
        <v>560</v>
      </c>
      <c r="E270" s="472" t="s">
        <v>561</v>
      </c>
      <c r="F270" s="471" t="s">
        <v>562</v>
      </c>
      <c r="G270" s="463" t="s">
        <v>149</v>
      </c>
      <c r="H270" s="199" t="s">
        <v>150</v>
      </c>
      <c r="I270" s="506" t="s">
        <v>151</v>
      </c>
      <c r="J270" s="503">
        <v>20700</v>
      </c>
      <c r="K270" s="496" t="str">
        <f>IF(AND(J270&lt;=2),"Muy Baja",IF(AND(J270&gt;=3,J270&lt;=23),"Baja",IF(AND(J270&gt;=24,J270&lt;=499),"Media",IF(AND(J270&gt;=500,J270&lt;=4999),"Alta",IF(AND(J270&gt;=5000),"Muy Alta",FALSE)))))</f>
        <v>Muy Alta</v>
      </c>
      <c r="L270" s="496" t="str">
        <f>IF(AND(J270&lt;=2),"20%",IF(AND(J270&gt;=3,J270&lt;=23),"40%",IF(AND(J270&gt;=24,J270&lt;=499),"60%",IF(AND(J270&gt;=500,J270&lt;=4999),"80%",IF(AND(J270&gt;=5000),"100%",FALSE)))))</f>
        <v>100%</v>
      </c>
      <c r="M270" s="496" t="s">
        <v>162</v>
      </c>
      <c r="N270" s="496" t="str">
        <f>IF(AND(M270=$FQ$4),"Leve",IF(AND(M270=$FQ$5),"Menor",IF(AND(M270=$FQ$6),"Moderado",IF(AND(M270=$FQ$7),"mayor",IF(AND(M270=$FQ$8),"Catastrófico",IF(AND(M270=$FQ$10),"Leve",IF(AND(M270=$FQ$11),"Menor",IF(AND(M270=$FQ$12),"Moderado",IF(AND(M270=$FQ$13),"Mayor",IF(AND(M270=$FQ$14),"Catastrófico",FALSE))))))))))</f>
        <v>Moderado</v>
      </c>
      <c r="O270" s="509" t="str">
        <f>IF(AND(N270="Leve"),"20%",IF(AND(N270="Menor"),"40%",IF(AND(N270="Moderado"),"60%",IF(AND(N270="Mayor"),"80%",IF(AND(N270="Catastrófico"),"100%","")))))</f>
        <v>60%</v>
      </c>
      <c r="P270" s="496" t="str">
        <f>INDEX('[29]MATRIZ RIESGO'!$D$6:$H$10,MATCH(K270,'[29]MATRIZ RIESGO'!$C$6:$C$10,),MATCH(N270,'[29]MATRIZ RIESGO'!$D$5:$H$5,))</f>
        <v>Alto</v>
      </c>
      <c r="Q270" s="572">
        <v>1</v>
      </c>
      <c r="R270" s="130" t="s">
        <v>563</v>
      </c>
      <c r="S270" s="178" t="s">
        <v>242</v>
      </c>
      <c r="T270" s="178" t="s">
        <v>174</v>
      </c>
      <c r="U270" s="178" t="s">
        <v>153</v>
      </c>
      <c r="V270" s="178" t="str">
        <f>IF(AND(T270=$FS$2,U270=$FT$2),"50%",IF(AND(T270=$FS$2,U270=$FT$3),"40%",IF(AND(T270=$FS$3,U270=$FT$2),"40%",IF(AND(T270=$FS$3,U270=$FT$3),"30%",IF(AND(T270=$FS$4,U270=$FT$2),"35%",IF(AND(T270=$FS$4,U270=$FT$3),"25%",""))))))</f>
        <v>25%</v>
      </c>
      <c r="W270" s="178" t="s">
        <v>161</v>
      </c>
      <c r="X270" s="178" t="s">
        <v>164</v>
      </c>
      <c r="Y270" s="178" t="s">
        <v>165</v>
      </c>
      <c r="Z270" s="131" t="str">
        <f>IFERROR(IF(S270="Probabilidad",(L270-(+L270*V270)),IF(S270="Impacto",L270,"")),"")</f>
        <v>100%</v>
      </c>
      <c r="AA270" s="218">
        <f>LOOKUP(2,1/(Z270:Z275&lt;&gt;""),Z270:Z275)</f>
        <v>0.7</v>
      </c>
      <c r="AB270" s="218">
        <f>AA270*1</f>
        <v>0.7</v>
      </c>
      <c r="AC270" s="496" t="str">
        <f>IF(AND(AB270&lt;=20%),"Muy Baja",IF(AND(AB270&gt;=21%,AB270&lt;=40%),"Baja",IF(AND(AB270&gt;=41%,AB270&lt;=60%),"Media",IF(AND(AB270&gt;=61%,AB270&lt;=80%),"Alta",IF(AND(AB270&gt;=81%,AB270&gt;=100%),"Muy Alta",FALSE)))))</f>
        <v>Alta</v>
      </c>
      <c r="AD270" s="182">
        <f>IFERROR(IF(S270="Impacto",(O270-(+O270*V270)),IF(S270="Probabilidad",O270,"")),"")</f>
        <v>0.44999999999999996</v>
      </c>
      <c r="AE270" s="218">
        <f>LOOKUP(2,1/(AD270:AD275&lt;&gt;""),AD270:AD275)</f>
        <v>0.44999999999999996</v>
      </c>
      <c r="AF270" s="218">
        <f>AE270*1</f>
        <v>0.44999999999999996</v>
      </c>
      <c r="AG270" s="496" t="str">
        <f>CHOOSE((AF270&gt;=0%)+(AF270&gt;=21%)+(AF270&gt;=41%)+(AF270&gt;=61%)+(AF270&gt;=81%),"Leve","Menor","Moderado","Mayor","Catastrófico")</f>
        <v>Moderado</v>
      </c>
      <c r="AH270" s="496" t="str">
        <f>INDEX('[29]MATRIZ RIESGO'!$D$6:$H$10,MATCH(AC270,'[29]MATRIZ RIESGO'!$C$6:$C$10,),MATCH(AG270,'[29]MATRIZ RIESGO'!$D$5:$H$5,))</f>
        <v>Alto</v>
      </c>
      <c r="AI270" s="496" t="s">
        <v>77</v>
      </c>
      <c r="AJ270" s="172"/>
      <c r="AK270" s="172"/>
      <c r="AL270" s="163"/>
      <c r="AM270" s="163"/>
      <c r="AN270" s="172"/>
      <c r="AO270" s="172"/>
      <c r="AP270" s="496" t="s">
        <v>564</v>
      </c>
      <c r="AQ270" s="539" t="s">
        <v>113</v>
      </c>
      <c r="FM270" s="89"/>
      <c r="FP270" s="78" t="s">
        <v>255</v>
      </c>
      <c r="FQ270" s="80" t="s">
        <v>256</v>
      </c>
    </row>
    <row r="271" spans="1:173" s="78" customFormat="1" ht="13.5" customHeight="1" x14ac:dyDescent="0.2">
      <c r="A271" s="447"/>
      <c r="B271" s="126" t="s">
        <v>115</v>
      </c>
      <c r="C271" s="325"/>
      <c r="D271" s="325"/>
      <c r="E271" s="325"/>
      <c r="F271" s="441"/>
      <c r="G271" s="438"/>
      <c r="H271" s="200"/>
      <c r="I271" s="507"/>
      <c r="J271" s="504"/>
      <c r="K271" s="497"/>
      <c r="L271" s="497"/>
      <c r="M271" s="497"/>
      <c r="N271" s="497"/>
      <c r="O271" s="510"/>
      <c r="P271" s="497"/>
      <c r="Q271" s="572">
        <v>2</v>
      </c>
      <c r="R271" s="130" t="s">
        <v>827</v>
      </c>
      <c r="S271" s="178" t="s">
        <v>237</v>
      </c>
      <c r="T271" s="178" t="s">
        <v>202</v>
      </c>
      <c r="U271" s="178" t="s">
        <v>153</v>
      </c>
      <c r="V271" s="178" t="str">
        <f t="shared" ref="V271:V275" si="117">IF(AND(T271=$FS$2,U271=$FT$2),"50%",IF(AND(T271=$FS$2,U271=$FT$3),"40%",IF(AND(T271=$FS$3,U271=$FT$2),"40%",IF(AND(T271=$FS$3,U271=$FT$3),"30%",IF(AND(T271=$FS$4,U271=$FT$2),"35%",IF(AND(T271=$FS$4,U271=$FT$3),"25%",""))))))</f>
        <v>30%</v>
      </c>
      <c r="W271" s="178" t="s">
        <v>154</v>
      </c>
      <c r="X271" s="178" t="s">
        <v>155</v>
      </c>
      <c r="Y271" s="178" t="s">
        <v>156</v>
      </c>
      <c r="Z271" s="131">
        <f>IFERROR(IF(AND(S270="Probabilidad",S271="Probabilidad"),(Z270-(+Z270*V271)),IF(S271="Probabilidad",(L270-(+L270*V271)),IF(S271="Impacto",Z270,""))),"")</f>
        <v>0.7</v>
      </c>
      <c r="AA271" s="219"/>
      <c r="AB271" s="219"/>
      <c r="AC271" s="497"/>
      <c r="AD271" s="182">
        <f>IFERROR(IF(AND(S270="Impacto",V271="Impacto"),(AD270-(+AD270*V271)),IF(S271="Impacto",(O270-(+O270*V271)),IF(S271="Probabilidad",AD270,""))),"")</f>
        <v>0.44999999999999996</v>
      </c>
      <c r="AE271" s="219"/>
      <c r="AF271" s="219"/>
      <c r="AG271" s="497"/>
      <c r="AH271" s="497"/>
      <c r="AI271" s="497"/>
      <c r="AJ271" s="172"/>
      <c r="AK271" s="172"/>
      <c r="AL271" s="163"/>
      <c r="AM271" s="172"/>
      <c r="AN271" s="172"/>
      <c r="AO271" s="172"/>
      <c r="AP271" s="497"/>
      <c r="AQ271" s="537"/>
      <c r="FM271" s="89"/>
      <c r="FP271" s="78" t="s">
        <v>196</v>
      </c>
      <c r="FQ271" s="87" t="s">
        <v>158</v>
      </c>
    </row>
    <row r="272" spans="1:173" s="78" customFormat="1" ht="13.5" customHeight="1" x14ac:dyDescent="0.2">
      <c r="A272" s="447"/>
      <c r="B272" s="126" t="s">
        <v>115</v>
      </c>
      <c r="C272" s="325"/>
      <c r="D272" s="325"/>
      <c r="E272" s="325"/>
      <c r="F272" s="441"/>
      <c r="G272" s="438"/>
      <c r="H272" s="200"/>
      <c r="I272" s="507"/>
      <c r="J272" s="504"/>
      <c r="K272" s="497"/>
      <c r="L272" s="497"/>
      <c r="M272" s="497"/>
      <c r="N272" s="497"/>
      <c r="O272" s="510"/>
      <c r="P272" s="497"/>
      <c r="Q272" s="572"/>
      <c r="R272" s="130"/>
      <c r="S272" s="178"/>
      <c r="T272" s="178"/>
      <c r="U272" s="178"/>
      <c r="V272" s="178" t="str">
        <f t="shared" si="117"/>
        <v/>
      </c>
      <c r="W272" s="178"/>
      <c r="X272" s="178"/>
      <c r="Y272" s="178"/>
      <c r="Z272" s="131" t="str">
        <f>IFERROR(IF(AND(S271="Probabilidad",S272="Probabilidad"),(Z271-(+Z271*V272)),IF(S272="Probabilidad",(L271-(+L271*V272)),IF(S272="Impacto",Z271,""))),"")</f>
        <v/>
      </c>
      <c r="AA272" s="219"/>
      <c r="AB272" s="219"/>
      <c r="AC272" s="497"/>
      <c r="AD272" s="182" t="str">
        <f t="shared" ref="AD272:AD275" si="118">IFERROR(IF(AND(S271="Impacto",V272="Impacto"),(AD271-(+AD271*V272)),IF(S272="Impacto",(O271-(+O271*V272)),IF(S272="Probabilidad",AD271,""))),"")</f>
        <v/>
      </c>
      <c r="AE272" s="219"/>
      <c r="AF272" s="219"/>
      <c r="AG272" s="497"/>
      <c r="AH272" s="497"/>
      <c r="AI272" s="497"/>
      <c r="AJ272" s="172"/>
      <c r="AK272" s="172"/>
      <c r="AL272" s="622"/>
      <c r="AM272" s="172"/>
      <c r="AN272" s="172"/>
      <c r="AO272" s="172"/>
      <c r="AP272" s="497"/>
      <c r="AQ272" s="537"/>
      <c r="FM272" s="89"/>
      <c r="FQ272" s="87" t="s">
        <v>160</v>
      </c>
    </row>
    <row r="273" spans="1:173" s="78" customFormat="1" ht="13.5" customHeight="1" x14ac:dyDescent="0.2">
      <c r="A273" s="447"/>
      <c r="B273" s="126" t="s">
        <v>115</v>
      </c>
      <c r="C273" s="325"/>
      <c r="D273" s="325"/>
      <c r="E273" s="325"/>
      <c r="F273" s="441"/>
      <c r="G273" s="438"/>
      <c r="H273" s="200"/>
      <c r="I273" s="507"/>
      <c r="J273" s="504"/>
      <c r="K273" s="497"/>
      <c r="L273" s="497"/>
      <c r="M273" s="497"/>
      <c r="N273" s="497"/>
      <c r="O273" s="510"/>
      <c r="P273" s="497"/>
      <c r="Q273" s="572"/>
      <c r="R273" s="130"/>
      <c r="S273" s="178"/>
      <c r="T273" s="178"/>
      <c r="U273" s="178"/>
      <c r="V273" s="178" t="str">
        <f t="shared" si="117"/>
        <v/>
      </c>
      <c r="W273" s="178"/>
      <c r="X273" s="178"/>
      <c r="Y273" s="178"/>
      <c r="Z273" s="131" t="str">
        <f>IFERROR(IF(AND(S272="Probabilidad",S273="Probabilidad"),(Z272-(+Z272*V273)),IF(S273="Probabilidad",(L272-(+L272*V273)),IF(S273="Impacto",Z272,""))),"")</f>
        <v/>
      </c>
      <c r="AA273" s="219"/>
      <c r="AB273" s="219"/>
      <c r="AC273" s="497"/>
      <c r="AD273" s="182" t="str">
        <f t="shared" si="118"/>
        <v/>
      </c>
      <c r="AE273" s="219"/>
      <c r="AF273" s="219"/>
      <c r="AG273" s="497"/>
      <c r="AH273" s="497"/>
      <c r="AI273" s="497"/>
      <c r="AK273" s="172"/>
      <c r="AL273" s="163"/>
      <c r="AM273" s="172"/>
      <c r="AN273" s="172"/>
      <c r="AO273" s="172"/>
      <c r="AP273" s="497"/>
      <c r="AQ273" s="537"/>
      <c r="FM273" s="89"/>
      <c r="FQ273" s="87" t="s">
        <v>162</v>
      </c>
    </row>
    <row r="274" spans="1:173" s="78" customFormat="1" ht="13.5" customHeight="1" x14ac:dyDescent="0.2">
      <c r="A274" s="447"/>
      <c r="B274" s="126" t="s">
        <v>115</v>
      </c>
      <c r="C274" s="325"/>
      <c r="D274" s="325"/>
      <c r="E274" s="325"/>
      <c r="F274" s="441"/>
      <c r="G274" s="438"/>
      <c r="H274" s="200"/>
      <c r="I274" s="507"/>
      <c r="J274" s="504"/>
      <c r="K274" s="497"/>
      <c r="L274" s="497"/>
      <c r="M274" s="497"/>
      <c r="N274" s="497"/>
      <c r="O274" s="510"/>
      <c r="P274" s="497"/>
      <c r="Q274" s="572"/>
      <c r="R274" s="130"/>
      <c r="S274" s="178"/>
      <c r="T274" s="178"/>
      <c r="U274" s="178"/>
      <c r="V274" s="178" t="str">
        <f t="shared" si="117"/>
        <v/>
      </c>
      <c r="W274" s="178"/>
      <c r="X274" s="178"/>
      <c r="Y274" s="178"/>
      <c r="Z274" s="131" t="str">
        <f>IFERROR(IF(AND(S273="Probabilidad",S274="Probabilidad"),(Z273-(+Z273*V274)),IF(S274="Probabilidad",(L273-(+L273*V274)),IF(S274="Impacto",Z273,""))),"")</f>
        <v/>
      </c>
      <c r="AA274" s="219"/>
      <c r="AB274" s="219"/>
      <c r="AC274" s="497"/>
      <c r="AD274" s="182" t="str">
        <f t="shared" si="118"/>
        <v/>
      </c>
      <c r="AE274" s="219"/>
      <c r="AF274" s="219"/>
      <c r="AG274" s="497"/>
      <c r="AH274" s="497"/>
      <c r="AI274" s="497"/>
      <c r="AJ274" s="172"/>
      <c r="AK274" s="172"/>
      <c r="AL274" s="163"/>
      <c r="AM274" s="172"/>
      <c r="AN274" s="172"/>
      <c r="AO274" s="172"/>
      <c r="AP274" s="497"/>
      <c r="AQ274" s="537"/>
      <c r="FM274" s="89"/>
      <c r="FQ274" s="87" t="s">
        <v>257</v>
      </c>
    </row>
    <row r="275" spans="1:173" s="78" customFormat="1" ht="13.5" customHeight="1" x14ac:dyDescent="0.2">
      <c r="A275" s="460"/>
      <c r="B275" s="126" t="s">
        <v>115</v>
      </c>
      <c r="C275" s="459"/>
      <c r="D275" s="459"/>
      <c r="E275" s="459"/>
      <c r="F275" s="458"/>
      <c r="G275" s="457"/>
      <c r="H275" s="201"/>
      <c r="I275" s="508"/>
      <c r="J275" s="505"/>
      <c r="K275" s="498"/>
      <c r="L275" s="498"/>
      <c r="M275" s="498"/>
      <c r="N275" s="498"/>
      <c r="O275" s="511"/>
      <c r="P275" s="498"/>
      <c r="Q275" s="572"/>
      <c r="R275" s="130"/>
      <c r="S275" s="178"/>
      <c r="T275" s="178"/>
      <c r="U275" s="178"/>
      <c r="V275" s="178" t="str">
        <f t="shared" si="117"/>
        <v/>
      </c>
      <c r="W275" s="178"/>
      <c r="X275" s="178"/>
      <c r="Y275" s="178"/>
      <c r="Z275" s="131" t="str">
        <f>IFERROR(IF(AND(S274="Probabilidad",S275="Probabilidad"),(Z274-(+Z274*V275)),IF(S275="Probabilidad",(L274-(+L274*V275)),IF(S275="Impacto",Z274,""))),"")</f>
        <v/>
      </c>
      <c r="AA275" s="220"/>
      <c r="AB275" s="220"/>
      <c r="AC275" s="498"/>
      <c r="AD275" s="182" t="str">
        <f t="shared" si="118"/>
        <v/>
      </c>
      <c r="AE275" s="220"/>
      <c r="AF275" s="220"/>
      <c r="AG275" s="498"/>
      <c r="AH275" s="498"/>
      <c r="AI275" s="498"/>
      <c r="AJ275" s="172"/>
      <c r="AK275" s="172"/>
      <c r="AL275" s="163"/>
      <c r="AM275" s="172"/>
      <c r="AN275" s="172"/>
      <c r="AO275" s="172"/>
      <c r="AP275" s="498"/>
      <c r="AQ275" s="538"/>
      <c r="FM275" s="89"/>
      <c r="FQ275" s="87" t="s">
        <v>170</v>
      </c>
    </row>
    <row r="276" spans="1:173" s="78" customFormat="1" ht="13.5" customHeight="1" x14ac:dyDescent="0.25">
      <c r="A276" s="446">
        <v>50</v>
      </c>
      <c r="B276" s="126" t="s">
        <v>115</v>
      </c>
      <c r="C276" s="444" t="s">
        <v>248</v>
      </c>
      <c r="D276" s="444" t="s">
        <v>828</v>
      </c>
      <c r="E276" s="444" t="s">
        <v>829</v>
      </c>
      <c r="F276" s="440" t="s">
        <v>830</v>
      </c>
      <c r="G276" s="437" t="s">
        <v>149</v>
      </c>
      <c r="H276" s="199" t="s">
        <v>150</v>
      </c>
      <c r="I276" s="527" t="s">
        <v>151</v>
      </c>
      <c r="J276" s="526">
        <v>20700</v>
      </c>
      <c r="K276" s="496" t="str">
        <f>IF(AND(J276&lt;=2),"Muy Baja",IF(AND(J276&gt;=3,J276&lt;=23),"Baja",IF(AND(J276&gt;=24,J276&lt;=499),"Media",IF(AND(J276&gt;=500,J276&lt;=4999),"Alta",IF(AND(J276&gt;=5000),"Muy Alta",FALSE)))))</f>
        <v>Muy Alta</v>
      </c>
      <c r="L276" s="496" t="str">
        <f>IF(AND(J276&lt;=2),"20%",IF(AND(J276&gt;=3,J276&lt;=23),"40%",IF(AND(J276&gt;=24,J276&lt;=499),"60%",IF(AND(J276&gt;=500,J276&lt;=4999),"80%",IF(AND(J276&gt;=5000),"100%",FALSE)))))</f>
        <v>100%</v>
      </c>
      <c r="M276" s="496" t="s">
        <v>162</v>
      </c>
      <c r="N276" s="496" t="str">
        <f>IF(AND(M276=$FQ$4),"Leve",IF(AND(M276=$FQ$5),"Menor",IF(AND(M276=$FQ$6),"Moderado",IF(AND(M276=$FQ$7),"mayor",IF(AND(M276=$FQ$8),"Catastrófico",IF(AND(M276=$FQ$10),"Leve",IF(AND(M276=$FQ$11),"Menor",IF(AND(M276=$FQ$12),"Moderado",IF(AND(M276=$FQ$13),"Mayor",IF(AND(M276=$FQ$14),"Catastrófico",FALSE))))))))))</f>
        <v>Moderado</v>
      </c>
      <c r="O276" s="509" t="str">
        <f>IF(AND(N276="Leve"),"20%",IF(AND(N276="Menor"),"40%",IF(AND(N276="Moderado"),"60%",IF(AND(N276="Mayor"),"80%",IF(AND(N276="Catastrófico"),"100%","")))))</f>
        <v>60%</v>
      </c>
      <c r="P276" s="496" t="str">
        <f>INDEX('[29]MATRIZ RIESGO'!$D$6:$H$10,MATCH(K276,'[29]MATRIZ RIESGO'!$C$6:$C$10,),MATCH(N276,'[29]MATRIZ RIESGO'!$D$5:$H$5,))</f>
        <v>Alto</v>
      </c>
      <c r="Q276" s="572">
        <v>1</v>
      </c>
      <c r="R276" s="130" t="s">
        <v>831</v>
      </c>
      <c r="S276" s="178" t="s">
        <v>242</v>
      </c>
      <c r="T276" s="178" t="s">
        <v>174</v>
      </c>
      <c r="U276" s="178" t="s">
        <v>153</v>
      </c>
      <c r="V276" s="178" t="str">
        <f>IF(AND(T276=$FS$2,U276=$FT$2),"50%",IF(AND(T276=$FS$2,U276=$FT$3),"40%",IF(AND(T276=$FS$3,U276=$FT$2),"40%",IF(AND(T276=$FS$3,U276=$FT$3),"30%",IF(AND(T276=$FS$4,U276=$FT$2),"35%",IF(AND(T276=$FS$4,U276=$FT$3),"25%",""))))))</f>
        <v>25%</v>
      </c>
      <c r="W276" s="178" t="s">
        <v>161</v>
      </c>
      <c r="X276" s="178" t="s">
        <v>164</v>
      </c>
      <c r="Y276" s="178" t="s">
        <v>165</v>
      </c>
      <c r="Z276" s="131" t="str">
        <f>IFERROR(IF(S276="Probabilidad",(L276-(+L276*V276)),IF(S276="Impacto",L276,"")),"")</f>
        <v>100%</v>
      </c>
      <c r="AA276" s="218" t="str">
        <f>LOOKUP(2,1/(Z276:Z281&lt;&gt;""),Z276:Z281)</f>
        <v>100%</v>
      </c>
      <c r="AB276" s="218">
        <f t="shared" ref="AB276" si="119">AA276*1</f>
        <v>1</v>
      </c>
      <c r="AC276" s="496" t="str">
        <f t="shared" ref="AC276" si="120">IF(AND(AB276&lt;=20%),"Muy Baja",IF(AND(AB276&gt;=21%,AB276&lt;=40%),"Baja",IF(AND(AB276&gt;=41%,AB276&lt;=60%),"Media",IF(AND(AB276&gt;=61%,AB276&lt;=80%),"Alta",IF(AND(AB276&gt;=81%,AB276&gt;=100%),"Muy Alta",FALSE)))))</f>
        <v>Muy Alta</v>
      </c>
      <c r="AD276" s="182">
        <f>IFERROR(IF(S276="Impacto",(O276-(+O276*V276)),IF(S276="Probabilidad",O276,"")),"")</f>
        <v>0.44999999999999996</v>
      </c>
      <c r="AE276" s="218">
        <f>LOOKUP(2,1/(AD276:AD281&lt;&gt;""),AD276:AD281)</f>
        <v>0.44999999999999996</v>
      </c>
      <c r="AF276" s="218">
        <f>AE276*1</f>
        <v>0.44999999999999996</v>
      </c>
      <c r="AG276" s="496" t="str">
        <f t="shared" ref="AG276" si="121">CHOOSE((AF276&gt;=0%)+(AF276&gt;=21%)+(AF276&gt;=41%)+(AF276&gt;=61%)+(AF276&gt;=81%),"Leve","Menor","Moderado","Mayor","Catastrófico")</f>
        <v>Moderado</v>
      </c>
      <c r="AH276" s="496" t="str">
        <f>INDEX('[29]MATRIZ RIESGO'!$D$6:$H$10,MATCH(AC276,'[29]MATRIZ RIESGO'!$C$6:$C$10,),MATCH(AG276,'[29]MATRIZ RIESGO'!$D$5:$H$5,))</f>
        <v>Alto</v>
      </c>
      <c r="AI276" s="496" t="s">
        <v>77</v>
      </c>
      <c r="AJ276" s="172"/>
      <c r="AK276" s="172"/>
      <c r="AL276" s="163"/>
      <c r="AM276" s="172"/>
      <c r="AN276" s="172"/>
      <c r="AO276" s="172"/>
      <c r="AP276" s="496" t="s">
        <v>565</v>
      </c>
      <c r="AQ276" s="539" t="s">
        <v>113</v>
      </c>
      <c r="FM276" s="89"/>
      <c r="FQ276" s="80"/>
    </row>
    <row r="277" spans="1:173" s="78" customFormat="1" ht="13.5" customHeight="1" x14ac:dyDescent="0.25">
      <c r="A277" s="447"/>
      <c r="B277" s="126" t="s">
        <v>115</v>
      </c>
      <c r="C277" s="325"/>
      <c r="D277" s="325"/>
      <c r="E277" s="325"/>
      <c r="F277" s="441"/>
      <c r="G277" s="438"/>
      <c r="H277" s="200"/>
      <c r="I277" s="507"/>
      <c r="J277" s="504"/>
      <c r="K277" s="497"/>
      <c r="L277" s="497"/>
      <c r="M277" s="497"/>
      <c r="N277" s="497"/>
      <c r="O277" s="510"/>
      <c r="P277" s="497"/>
      <c r="Q277" s="572"/>
      <c r="R277" s="130"/>
      <c r="S277" s="178"/>
      <c r="T277" s="178"/>
      <c r="U277" s="178"/>
      <c r="V277" s="178" t="str">
        <f t="shared" ref="V277:V281" si="122">IF(AND(T277=$FS$2,U277=$FT$2),"50%",IF(AND(T277=$FS$2,U277=$FT$3),"40%",IF(AND(T277=$FS$3,U277=$FT$2),"40%",IF(AND(T277=$FS$3,U277=$FT$3),"30%",IF(AND(T277=$FS$4,U277=$FT$2),"35%",IF(AND(T277=$FS$4,U277=$FT$3),"25%",""))))))</f>
        <v/>
      </c>
      <c r="W277" s="178"/>
      <c r="X277" s="178"/>
      <c r="Y277" s="178"/>
      <c r="Z277" s="131" t="str">
        <f>IFERROR(IF(AND(S276="Probabilidad",S277="Probabilidad"),(Z276-(+Z276*V277)),IF(S277="Probabilidad",(L276-(+L276*V277)),IF(S277="Impacto",Z276,""))),"")</f>
        <v/>
      </c>
      <c r="AA277" s="219"/>
      <c r="AB277" s="219"/>
      <c r="AC277" s="497"/>
      <c r="AD277" s="182" t="str">
        <f>IFERROR(IF(AND(S276="Impacto",V277="Impacto"),(AD276-(+AD276*V277)),IF(S277="Impacto",(O276-(+O276*V277)),IF(S277="Probabilidad",AD276,""))),"")</f>
        <v/>
      </c>
      <c r="AE277" s="219"/>
      <c r="AF277" s="219"/>
      <c r="AG277" s="497"/>
      <c r="AH277" s="497"/>
      <c r="AI277" s="497"/>
      <c r="AJ277" s="172"/>
      <c r="AK277" s="172"/>
      <c r="AL277" s="163"/>
      <c r="AM277" s="172"/>
      <c r="AN277" s="172"/>
      <c r="AO277" s="172"/>
      <c r="AP277" s="497"/>
      <c r="AQ277" s="537"/>
      <c r="FM277" s="89"/>
    </row>
    <row r="278" spans="1:173" s="78" customFormat="1" ht="13.5" customHeight="1" x14ac:dyDescent="0.25">
      <c r="A278" s="447"/>
      <c r="B278" s="126" t="s">
        <v>115</v>
      </c>
      <c r="C278" s="325"/>
      <c r="D278" s="325"/>
      <c r="E278" s="325"/>
      <c r="F278" s="441"/>
      <c r="G278" s="438"/>
      <c r="H278" s="200"/>
      <c r="I278" s="507"/>
      <c r="J278" s="504"/>
      <c r="K278" s="497"/>
      <c r="L278" s="497"/>
      <c r="M278" s="497"/>
      <c r="N278" s="497"/>
      <c r="O278" s="510"/>
      <c r="P278" s="497"/>
      <c r="Q278" s="572"/>
      <c r="R278" s="130"/>
      <c r="S278" s="178"/>
      <c r="T278" s="178"/>
      <c r="U278" s="178"/>
      <c r="V278" s="178" t="str">
        <f t="shared" si="122"/>
        <v/>
      </c>
      <c r="W278" s="178"/>
      <c r="X278" s="178"/>
      <c r="Y278" s="178"/>
      <c r="Z278" s="131" t="str">
        <f>IFERROR(IF(AND(S277="Probabilidad",S278="Probabilidad"),(Z277-(+Z277*V278)),IF(S278="Probabilidad",(L277-(+L277*V278)),IF(S278="Impacto",Z277,""))),"")</f>
        <v/>
      </c>
      <c r="AA278" s="219"/>
      <c r="AB278" s="219"/>
      <c r="AC278" s="497"/>
      <c r="AD278" s="182" t="str">
        <f t="shared" ref="AD278:AD281" si="123">IFERROR(IF(AND(S277="Impacto",V278="Impacto"),(AD277-(+AD277*V278)),IF(S278="Impacto",(O277-(+O277*V278)),IF(S278="Probabilidad",AD277,""))),"")</f>
        <v/>
      </c>
      <c r="AE278" s="219"/>
      <c r="AF278" s="219"/>
      <c r="AG278" s="497"/>
      <c r="AH278" s="497"/>
      <c r="AI278" s="497"/>
      <c r="AJ278" s="172"/>
      <c r="AK278" s="172"/>
      <c r="AL278" s="163"/>
      <c r="AM278" s="172"/>
      <c r="AN278" s="172"/>
      <c r="AO278" s="172"/>
      <c r="AP278" s="497"/>
      <c r="AQ278" s="537"/>
      <c r="FM278" s="89"/>
    </row>
    <row r="279" spans="1:173" s="78" customFormat="1" ht="13.5" customHeight="1" x14ac:dyDescent="0.25">
      <c r="A279" s="447"/>
      <c r="B279" s="126" t="s">
        <v>115</v>
      </c>
      <c r="C279" s="325"/>
      <c r="D279" s="325"/>
      <c r="E279" s="325"/>
      <c r="F279" s="441"/>
      <c r="G279" s="438"/>
      <c r="H279" s="200"/>
      <c r="I279" s="507"/>
      <c r="J279" s="504"/>
      <c r="K279" s="497"/>
      <c r="L279" s="497"/>
      <c r="M279" s="497"/>
      <c r="N279" s="497"/>
      <c r="O279" s="510"/>
      <c r="P279" s="497"/>
      <c r="Q279" s="572"/>
      <c r="R279" s="130"/>
      <c r="S279" s="178"/>
      <c r="T279" s="178"/>
      <c r="U279" s="178"/>
      <c r="V279" s="178" t="str">
        <f t="shared" si="122"/>
        <v/>
      </c>
      <c r="W279" s="178"/>
      <c r="X279" s="178"/>
      <c r="Y279" s="178"/>
      <c r="Z279" s="131" t="str">
        <f>IFERROR(IF(AND(S278="Probabilidad",S279="Probabilidad"),(Z278-(+Z278*V279)),IF(S279="Probabilidad",(L278-(+L278*V279)),IF(S279="Impacto",Z278,""))),"")</f>
        <v/>
      </c>
      <c r="AA279" s="219"/>
      <c r="AB279" s="219"/>
      <c r="AC279" s="497"/>
      <c r="AD279" s="182" t="str">
        <f t="shared" si="123"/>
        <v/>
      </c>
      <c r="AE279" s="219"/>
      <c r="AF279" s="219"/>
      <c r="AG279" s="497"/>
      <c r="AH279" s="497"/>
      <c r="AI279" s="497"/>
      <c r="AJ279" s="172"/>
      <c r="AK279" s="172"/>
      <c r="AL279" s="163"/>
      <c r="AM279" s="172"/>
      <c r="AN279" s="172"/>
      <c r="AO279" s="172"/>
      <c r="AP279" s="497"/>
      <c r="AQ279" s="537"/>
      <c r="FM279" s="89"/>
    </row>
    <row r="280" spans="1:173" s="78" customFormat="1" ht="13.5" customHeight="1" x14ac:dyDescent="0.25">
      <c r="A280" s="447"/>
      <c r="B280" s="126" t="s">
        <v>115</v>
      </c>
      <c r="C280" s="325"/>
      <c r="D280" s="325"/>
      <c r="E280" s="325"/>
      <c r="F280" s="441"/>
      <c r="G280" s="438"/>
      <c r="H280" s="200"/>
      <c r="I280" s="507"/>
      <c r="J280" s="504"/>
      <c r="K280" s="497"/>
      <c r="L280" s="497"/>
      <c r="M280" s="497"/>
      <c r="N280" s="497"/>
      <c r="O280" s="510"/>
      <c r="P280" s="497"/>
      <c r="Q280" s="572"/>
      <c r="R280" s="130"/>
      <c r="S280" s="178"/>
      <c r="T280" s="178"/>
      <c r="U280" s="178"/>
      <c r="V280" s="178" t="str">
        <f t="shared" si="122"/>
        <v/>
      </c>
      <c r="W280" s="178"/>
      <c r="X280" s="178"/>
      <c r="Y280" s="178"/>
      <c r="Z280" s="131" t="str">
        <f>IFERROR(IF(AND(S279="Probabilidad",S280="Probabilidad"),(Z279-(+Z279*V280)),IF(S280="Probabilidad",(L279-(+L279*V280)),IF(S280="Impacto",Z279,""))),"")</f>
        <v/>
      </c>
      <c r="AA280" s="219"/>
      <c r="AB280" s="219"/>
      <c r="AC280" s="497"/>
      <c r="AD280" s="182" t="str">
        <f t="shared" si="123"/>
        <v/>
      </c>
      <c r="AE280" s="219"/>
      <c r="AF280" s="219"/>
      <c r="AG280" s="497"/>
      <c r="AH280" s="497"/>
      <c r="AI280" s="497"/>
      <c r="AJ280" s="172"/>
      <c r="AK280" s="172"/>
      <c r="AL280" s="163"/>
      <c r="AM280" s="172"/>
      <c r="AN280" s="172"/>
      <c r="AO280" s="172"/>
      <c r="AP280" s="497"/>
      <c r="AQ280" s="537"/>
      <c r="FM280" s="89"/>
    </row>
    <row r="281" spans="1:173" s="78" customFormat="1" ht="13.5" customHeight="1" x14ac:dyDescent="0.25">
      <c r="A281" s="460"/>
      <c r="B281" s="126" t="s">
        <v>115</v>
      </c>
      <c r="C281" s="459"/>
      <c r="D281" s="459"/>
      <c r="E281" s="459"/>
      <c r="F281" s="458"/>
      <c r="G281" s="457"/>
      <c r="H281" s="201"/>
      <c r="I281" s="508"/>
      <c r="J281" s="505"/>
      <c r="K281" s="498"/>
      <c r="L281" s="498"/>
      <c r="M281" s="498"/>
      <c r="N281" s="498"/>
      <c r="O281" s="511"/>
      <c r="P281" s="498"/>
      <c r="Q281" s="572"/>
      <c r="R281" s="130"/>
      <c r="S281" s="178"/>
      <c r="T281" s="178"/>
      <c r="U281" s="178"/>
      <c r="V281" s="178" t="str">
        <f t="shared" si="122"/>
        <v/>
      </c>
      <c r="W281" s="178"/>
      <c r="X281" s="178"/>
      <c r="Y281" s="178"/>
      <c r="Z281" s="131" t="str">
        <f>IFERROR(IF(AND(S280="Probabilidad",S281="Probabilidad"),(Z280-(+Z280*V281)),IF(S281="Probabilidad",(L280-(+L280*V281)),IF(S281="Impacto",Z280,""))),"")</f>
        <v/>
      </c>
      <c r="AA281" s="220"/>
      <c r="AB281" s="220"/>
      <c r="AC281" s="498"/>
      <c r="AD281" s="182" t="str">
        <f t="shared" si="123"/>
        <v/>
      </c>
      <c r="AE281" s="220"/>
      <c r="AF281" s="220"/>
      <c r="AG281" s="498"/>
      <c r="AH281" s="498"/>
      <c r="AI281" s="498"/>
      <c r="AJ281" s="172"/>
      <c r="AK281" s="172"/>
      <c r="AL281" s="163"/>
      <c r="AM281" s="172"/>
      <c r="AN281" s="172"/>
      <c r="AO281" s="172"/>
      <c r="AP281" s="498"/>
      <c r="AQ281" s="538"/>
      <c r="FM281" s="89"/>
      <c r="FQ281" s="79"/>
    </row>
    <row r="282" spans="1:173" s="78" customFormat="1" ht="13.5" customHeight="1" x14ac:dyDescent="0.25">
      <c r="A282" s="446">
        <v>51</v>
      </c>
      <c r="B282" s="126" t="s">
        <v>115</v>
      </c>
      <c r="C282" s="444" t="s">
        <v>248</v>
      </c>
      <c r="D282" s="444" t="s">
        <v>566</v>
      </c>
      <c r="E282" s="444" t="s">
        <v>567</v>
      </c>
      <c r="F282" s="440" t="s">
        <v>188</v>
      </c>
      <c r="G282" s="437" t="s">
        <v>149</v>
      </c>
      <c r="H282" s="199" t="s">
        <v>150</v>
      </c>
      <c r="I282" s="527" t="s">
        <v>191</v>
      </c>
      <c r="J282" s="526">
        <v>18000</v>
      </c>
      <c r="K282" s="496" t="str">
        <f>IF(AND(J282&lt;=2),"Muy Baja",IF(AND(J282&gt;=3,J282&lt;=23),"Baja",IF(AND(J282&gt;=24,J282&lt;=499),"Media",IF(AND(J282&gt;=500,J282&lt;=4999),"Alta",IF(AND(J282&gt;=5000),"Muy Alta",FALSE)))))</f>
        <v>Muy Alta</v>
      </c>
      <c r="L282" s="496" t="str">
        <f>IF(AND(J282&lt;=2),"20%",IF(AND(J282&gt;=3,J282&lt;=23),"40%",IF(AND(J282&gt;=24,J282&lt;=499),"60%",IF(AND(J282&gt;=500,J282&lt;=4999),"80%",IF(AND(J282&gt;=5000),"100%",FALSE)))))</f>
        <v>100%</v>
      </c>
      <c r="M282" s="496" t="s">
        <v>162</v>
      </c>
      <c r="N282" s="496" t="str">
        <f>IF(AND(M282=$FQ$4),"Leve",IF(AND(M282=$FQ$5),"Menor",IF(AND(M282=$FQ$6),"Moderado",IF(AND(M282=$FQ$7),"mayor",IF(AND(M282=$FQ$8),"Catastrófico",IF(AND(M282=$FQ$10),"Leve",IF(AND(M282=$FQ$11),"Menor",IF(AND(M282=$FQ$12),"Moderado",IF(AND(M282=$FQ$13),"Mayor",IF(AND(M282=$FQ$14),"Catastrófico",FALSE))))))))))</f>
        <v>Moderado</v>
      </c>
      <c r="O282" s="509" t="str">
        <f>IF(AND(N282="Leve"),"20%",IF(AND(N282="Menor"),"40%",IF(AND(N282="Moderado"),"60%",IF(AND(N282="Mayor"),"80%",IF(AND(N282="Catastrófico"),"100%","")))))</f>
        <v>60%</v>
      </c>
      <c r="P282" s="496" t="str">
        <f>INDEX('[29]MATRIZ RIESGO'!$D$6:$H$10,MATCH(K282,'[29]MATRIZ RIESGO'!$C$6:$C$10,),MATCH(N282,'[29]MATRIZ RIESGO'!$D$5:$H$5,))</f>
        <v>Alto</v>
      </c>
      <c r="Q282" s="572">
        <v>1</v>
      </c>
      <c r="R282" s="130" t="s">
        <v>832</v>
      </c>
      <c r="S282" s="178" t="s">
        <v>242</v>
      </c>
      <c r="T282" s="178" t="s">
        <v>174</v>
      </c>
      <c r="U282" s="178" t="s">
        <v>153</v>
      </c>
      <c r="V282" s="178" t="str">
        <f>IF(AND(T282=$FS$2,U282=$FT$2),"50%",IF(AND(T282=$FS$2,U282=$FT$3),"40%",IF(AND(T282=$FS$3,U282=$FT$2),"40%",IF(AND(T282=$FS$3,U282=$FT$3),"30%",IF(AND(T282=$FS$4,U282=$FT$2),"35%",IF(AND(T282=$FS$4,U282=$FT$3),"25%",""))))))</f>
        <v>25%</v>
      </c>
      <c r="W282" s="178" t="s">
        <v>154</v>
      </c>
      <c r="X282" s="178" t="s">
        <v>155</v>
      </c>
      <c r="Y282" s="178" t="s">
        <v>156</v>
      </c>
      <c r="Z282" s="131" t="str">
        <f>IFERROR(IF(S282="Probabilidad",(L282-(+L282*V282)),IF(S282="Impacto",L282,"")),"")</f>
        <v>100%</v>
      </c>
      <c r="AA282" s="218" t="str">
        <f>LOOKUP(2,1/(Z282:Z287&lt;&gt;""),Z282:Z287)</f>
        <v>100%</v>
      </c>
      <c r="AB282" s="218">
        <f t="shared" ref="AB282" si="124">AA282*1</f>
        <v>1</v>
      </c>
      <c r="AC282" s="496" t="str">
        <f t="shared" ref="AC282" si="125">IF(AND(AB282&lt;=20%),"Muy Baja",IF(AND(AB282&gt;=21%,AB282&lt;=40%),"Baja",IF(AND(AB282&gt;=41%,AB282&lt;=60%),"Media",IF(AND(AB282&gt;=61%,AB282&lt;=80%),"Alta",IF(AND(AB282&gt;=81%,AB282&gt;=100%),"Muy Alta",FALSE)))))</f>
        <v>Muy Alta</v>
      </c>
      <c r="AD282" s="182">
        <f>IFERROR(IF(S282="Impacto",(O282-(+O282*V282)),IF(S282="Probabilidad",O282,"")),"")</f>
        <v>0.44999999999999996</v>
      </c>
      <c r="AE282" s="218">
        <f>LOOKUP(2,1/(AD282:AD287&lt;&gt;""),AD282:AD287)</f>
        <v>0.44999999999999996</v>
      </c>
      <c r="AF282" s="218">
        <f>AE282*1</f>
        <v>0.44999999999999996</v>
      </c>
      <c r="AG282" s="496" t="str">
        <f t="shared" ref="AG282" si="126">CHOOSE((AF282&gt;=0%)+(AF282&gt;=21%)+(AF282&gt;=41%)+(AF282&gt;=61%)+(AF282&gt;=81%),"Leve","Menor","Moderado","Mayor","Catastrófico")</f>
        <v>Moderado</v>
      </c>
      <c r="AH282" s="496" t="str">
        <f>INDEX('[29]MATRIZ RIESGO'!$D$6:$H$10,MATCH(AC282,'[29]MATRIZ RIESGO'!$C$6:$C$10,),MATCH(AG282,'[29]MATRIZ RIESGO'!$D$5:$H$5,))</f>
        <v>Alto</v>
      </c>
      <c r="AI282" s="496" t="s">
        <v>77</v>
      </c>
      <c r="AJ282" s="172"/>
      <c r="AK282" s="172"/>
      <c r="AL282" s="163"/>
      <c r="AM282" s="172"/>
      <c r="AN282" s="172"/>
      <c r="AO282" s="172"/>
      <c r="AP282" s="496" t="s">
        <v>189</v>
      </c>
      <c r="AQ282" s="539" t="s">
        <v>113</v>
      </c>
      <c r="FM282" s="89"/>
      <c r="FQ282" s="80"/>
    </row>
    <row r="283" spans="1:173" s="78" customFormat="1" ht="13.5" customHeight="1" x14ac:dyDescent="0.25">
      <c r="A283" s="447"/>
      <c r="B283" s="126" t="s">
        <v>115</v>
      </c>
      <c r="C283" s="325"/>
      <c r="D283" s="325"/>
      <c r="E283" s="325"/>
      <c r="F283" s="441"/>
      <c r="G283" s="438"/>
      <c r="H283" s="200"/>
      <c r="I283" s="507"/>
      <c r="J283" s="504"/>
      <c r="K283" s="497"/>
      <c r="L283" s="497"/>
      <c r="M283" s="497"/>
      <c r="N283" s="497"/>
      <c r="O283" s="510"/>
      <c r="P283" s="497"/>
      <c r="Q283" s="572"/>
      <c r="R283" s="130"/>
      <c r="S283" s="178"/>
      <c r="T283" s="178"/>
      <c r="U283" s="178"/>
      <c r="V283" s="178" t="str">
        <f t="shared" ref="V283:V287" si="127">IF(AND(T283=$FS$2,U283=$FT$2),"50%",IF(AND(T283=$FS$2,U283=$FT$3),"40%",IF(AND(T283=$FS$3,U283=$FT$2),"40%",IF(AND(T283=$FS$3,U283=$FT$3),"30%",IF(AND(T283=$FS$4,U283=$FT$2),"35%",IF(AND(T283=$FS$4,U283=$FT$3),"25%",""))))))</f>
        <v/>
      </c>
      <c r="W283" s="178"/>
      <c r="X283" s="178"/>
      <c r="Y283" s="178"/>
      <c r="Z283" s="131" t="str">
        <f>IFERROR(IF(AND(S282="Probabilidad",S283="Probabilidad"),(Z282-(+Z282*V283)),IF(S283="Probabilidad",(L282-(+L282*V283)),IF(S283="Impacto",Z282,""))),"")</f>
        <v/>
      </c>
      <c r="AA283" s="219"/>
      <c r="AB283" s="219"/>
      <c r="AC283" s="497"/>
      <c r="AD283" s="182" t="str">
        <f>IFERROR(IF(AND(S282="Impacto",V283="Impacto"),(AD282-(+AD282*V283)),IF(S283="Impacto",(O282-(+O282*V283)),IF(S283="Probabilidad",AD282,""))),"")</f>
        <v/>
      </c>
      <c r="AE283" s="219"/>
      <c r="AF283" s="219"/>
      <c r="AG283" s="497"/>
      <c r="AH283" s="497"/>
      <c r="AI283" s="497"/>
      <c r="AJ283" s="172"/>
      <c r="AK283" s="172"/>
      <c r="AL283" s="163"/>
      <c r="AM283" s="172"/>
      <c r="AN283" s="172"/>
      <c r="AO283" s="172"/>
      <c r="AP283" s="497"/>
      <c r="AQ283" s="537"/>
      <c r="FM283" s="89"/>
    </row>
    <row r="284" spans="1:173" s="78" customFormat="1" ht="13.5" customHeight="1" x14ac:dyDescent="0.25">
      <c r="A284" s="447"/>
      <c r="B284" s="126" t="s">
        <v>115</v>
      </c>
      <c r="C284" s="325"/>
      <c r="D284" s="325"/>
      <c r="E284" s="325"/>
      <c r="F284" s="441"/>
      <c r="G284" s="438"/>
      <c r="H284" s="200"/>
      <c r="I284" s="507"/>
      <c r="J284" s="504"/>
      <c r="K284" s="497"/>
      <c r="L284" s="497"/>
      <c r="M284" s="497"/>
      <c r="N284" s="497"/>
      <c r="O284" s="510"/>
      <c r="P284" s="497"/>
      <c r="Q284" s="572"/>
      <c r="R284" s="130"/>
      <c r="S284" s="178"/>
      <c r="T284" s="178"/>
      <c r="U284" s="178"/>
      <c r="V284" s="178" t="str">
        <f t="shared" si="127"/>
        <v/>
      </c>
      <c r="W284" s="178"/>
      <c r="X284" s="178"/>
      <c r="Y284" s="178"/>
      <c r="Z284" s="131" t="str">
        <f>IFERROR(IF(AND(S283="Probabilidad",S284="Probabilidad"),(Z283-(+Z283*V284)),IF(S284="Probabilidad",(L283-(+L283*V284)),IF(S284="Impacto",Z283,""))),"")</f>
        <v/>
      </c>
      <c r="AA284" s="219"/>
      <c r="AB284" s="219"/>
      <c r="AC284" s="497"/>
      <c r="AD284" s="182" t="str">
        <f t="shared" ref="AD284:AD287" si="128">IFERROR(IF(AND(S283="Impacto",V284="Impacto"),(AD283-(+AD283*V284)),IF(S284="Impacto",(O283-(+O283*V284)),IF(S284="Probabilidad",AD283,""))),"")</f>
        <v/>
      </c>
      <c r="AE284" s="219"/>
      <c r="AF284" s="219"/>
      <c r="AG284" s="497"/>
      <c r="AH284" s="497"/>
      <c r="AI284" s="497"/>
      <c r="AJ284" s="172"/>
      <c r="AK284" s="172"/>
      <c r="AL284" s="163"/>
      <c r="AM284" s="172"/>
      <c r="AN284" s="172"/>
      <c r="AO284" s="172"/>
      <c r="AP284" s="497"/>
      <c r="AQ284" s="537"/>
      <c r="FM284" s="89"/>
    </row>
    <row r="285" spans="1:173" s="78" customFormat="1" ht="13.5" customHeight="1" x14ac:dyDescent="0.25">
      <c r="A285" s="447"/>
      <c r="B285" s="126" t="s">
        <v>115</v>
      </c>
      <c r="C285" s="325"/>
      <c r="D285" s="325"/>
      <c r="E285" s="325"/>
      <c r="F285" s="441"/>
      <c r="G285" s="438"/>
      <c r="H285" s="200"/>
      <c r="I285" s="507"/>
      <c r="J285" s="504"/>
      <c r="K285" s="497"/>
      <c r="L285" s="497"/>
      <c r="M285" s="497"/>
      <c r="N285" s="497"/>
      <c r="O285" s="510"/>
      <c r="P285" s="497"/>
      <c r="Q285" s="572"/>
      <c r="R285" s="130"/>
      <c r="S285" s="178"/>
      <c r="T285" s="178"/>
      <c r="U285" s="178"/>
      <c r="V285" s="178" t="str">
        <f t="shared" si="127"/>
        <v/>
      </c>
      <c r="W285" s="178"/>
      <c r="X285" s="178"/>
      <c r="Y285" s="178"/>
      <c r="Z285" s="131" t="str">
        <f>IFERROR(IF(AND(S284="Probabilidad",S285="Probabilidad"),(Z284-(+Z284*V285)),IF(S285="Probabilidad",(L284-(+L284*V285)),IF(S285="Impacto",Z284,""))),"")</f>
        <v/>
      </c>
      <c r="AA285" s="219"/>
      <c r="AB285" s="219"/>
      <c r="AC285" s="497"/>
      <c r="AD285" s="182" t="str">
        <f t="shared" si="128"/>
        <v/>
      </c>
      <c r="AE285" s="219"/>
      <c r="AF285" s="219"/>
      <c r="AG285" s="497"/>
      <c r="AH285" s="497"/>
      <c r="AI285" s="497"/>
      <c r="AJ285" s="172"/>
      <c r="AK285" s="172"/>
      <c r="AL285" s="163"/>
      <c r="AM285" s="172"/>
      <c r="AN285" s="172"/>
      <c r="AO285" s="172"/>
      <c r="AP285" s="497"/>
      <c r="AQ285" s="537"/>
      <c r="FM285" s="89"/>
    </row>
    <row r="286" spans="1:173" s="78" customFormat="1" ht="13.5" customHeight="1" x14ac:dyDescent="0.25">
      <c r="A286" s="447"/>
      <c r="B286" s="126" t="s">
        <v>115</v>
      </c>
      <c r="C286" s="325"/>
      <c r="D286" s="325"/>
      <c r="E286" s="325"/>
      <c r="F286" s="441"/>
      <c r="G286" s="438"/>
      <c r="H286" s="200"/>
      <c r="I286" s="507"/>
      <c r="J286" s="504"/>
      <c r="K286" s="497"/>
      <c r="L286" s="497"/>
      <c r="M286" s="497"/>
      <c r="N286" s="497"/>
      <c r="O286" s="510"/>
      <c r="P286" s="497"/>
      <c r="Q286" s="572"/>
      <c r="R286" s="130"/>
      <c r="S286" s="178"/>
      <c r="T286" s="178"/>
      <c r="U286" s="178"/>
      <c r="V286" s="178" t="str">
        <f t="shared" si="127"/>
        <v/>
      </c>
      <c r="W286" s="178"/>
      <c r="X286" s="178"/>
      <c r="Y286" s="178"/>
      <c r="Z286" s="131" t="str">
        <f>IFERROR(IF(AND(S285="Probabilidad",S286="Probabilidad"),(Z285-(+Z285*V286)),IF(S286="Probabilidad",(L285-(+L285*V286)),IF(S286="Impacto",Z285,""))),"")</f>
        <v/>
      </c>
      <c r="AA286" s="219"/>
      <c r="AB286" s="219"/>
      <c r="AC286" s="497"/>
      <c r="AD286" s="182" t="str">
        <f t="shared" si="128"/>
        <v/>
      </c>
      <c r="AE286" s="219"/>
      <c r="AF286" s="219"/>
      <c r="AG286" s="497"/>
      <c r="AH286" s="497"/>
      <c r="AI286" s="497"/>
      <c r="AJ286" s="172"/>
      <c r="AK286" s="172"/>
      <c r="AL286" s="163"/>
      <c r="AM286" s="172"/>
      <c r="AN286" s="172"/>
      <c r="AO286" s="172"/>
      <c r="AP286" s="497"/>
      <c r="AQ286" s="537"/>
      <c r="FM286" s="89"/>
    </row>
    <row r="287" spans="1:173" s="78" customFormat="1" ht="13.5" customHeight="1" x14ac:dyDescent="0.25">
      <c r="A287" s="460"/>
      <c r="B287" s="126" t="s">
        <v>115</v>
      </c>
      <c r="C287" s="459"/>
      <c r="D287" s="459"/>
      <c r="E287" s="459"/>
      <c r="F287" s="458"/>
      <c r="G287" s="457"/>
      <c r="H287" s="201"/>
      <c r="I287" s="508"/>
      <c r="J287" s="505"/>
      <c r="K287" s="498"/>
      <c r="L287" s="498"/>
      <c r="M287" s="498"/>
      <c r="N287" s="498"/>
      <c r="O287" s="511"/>
      <c r="P287" s="498"/>
      <c r="Q287" s="572"/>
      <c r="R287" s="130"/>
      <c r="S287" s="178"/>
      <c r="T287" s="178"/>
      <c r="U287" s="178"/>
      <c r="V287" s="178" t="str">
        <f t="shared" si="127"/>
        <v/>
      </c>
      <c r="W287" s="178"/>
      <c r="X287" s="178"/>
      <c r="Y287" s="178"/>
      <c r="Z287" s="131" t="str">
        <f>IFERROR(IF(AND(S286="Probabilidad",S287="Probabilidad"),(Z286-(+Z286*V287)),IF(S287="Probabilidad",(L286-(+L286*V287)),IF(S287="Impacto",Z286,""))),"")</f>
        <v/>
      </c>
      <c r="AA287" s="220"/>
      <c r="AB287" s="220"/>
      <c r="AC287" s="498"/>
      <c r="AD287" s="182" t="str">
        <f t="shared" si="128"/>
        <v/>
      </c>
      <c r="AE287" s="220"/>
      <c r="AF287" s="220"/>
      <c r="AG287" s="498"/>
      <c r="AH287" s="498"/>
      <c r="AI287" s="498"/>
      <c r="AJ287" s="172"/>
      <c r="AK287" s="172"/>
      <c r="AL287" s="163"/>
      <c r="AM287" s="172"/>
      <c r="AN287" s="172"/>
      <c r="AO287" s="172"/>
      <c r="AP287" s="498"/>
      <c r="AQ287" s="538"/>
      <c r="FM287" s="89"/>
      <c r="FQ287" s="79"/>
    </row>
    <row r="288" spans="1:173" s="78" customFormat="1" ht="13.5" customHeight="1" x14ac:dyDescent="0.25">
      <c r="A288" s="444">
        <v>54</v>
      </c>
      <c r="B288" s="126" t="s">
        <v>582</v>
      </c>
      <c r="C288" s="444" t="s">
        <v>233</v>
      </c>
      <c r="D288" s="444" t="s">
        <v>583</v>
      </c>
      <c r="E288" s="444" t="s">
        <v>584</v>
      </c>
      <c r="F288" s="523" t="s">
        <v>585</v>
      </c>
      <c r="G288" s="444" t="s">
        <v>149</v>
      </c>
      <c r="H288" s="472" t="s">
        <v>150</v>
      </c>
      <c r="I288" s="434" t="s">
        <v>83</v>
      </c>
      <c r="J288" s="492">
        <v>91</v>
      </c>
      <c r="K288" s="512" t="str">
        <f>IF(AND(J288&lt;=2),"Muy Baja",IF(AND(J288&gt;=3,J288&lt;=23),"Baja",IF(AND(J288&gt;=24,J288&lt;=499),"Media",IF(AND(J288&gt;=500,J288&lt;=4999),"Alta",IF(AND(J288&gt;=5000),"Muy Alta",FALSE)))))</f>
        <v>Media</v>
      </c>
      <c r="L288" s="512" t="str">
        <f>IF(AND(J288&lt;=2),"20%",IF(AND(J288&gt;=3,J288&lt;=23),"40%",IF(AND(J288&gt;=24,J288&lt;=499),"60%",IF(AND(J288&gt;=500,J288&lt;=4999),"80%",IF(AND(J288&gt;=5000),"100%",FALSE)))))</f>
        <v>60%</v>
      </c>
      <c r="M288" s="512" t="s">
        <v>162</v>
      </c>
      <c r="N288" s="512" t="str">
        <f>IF(AND(M288=$FQ$4),"Leve",IF(AND(M288=$FQ$5),"Menor",IF(AND(M288=$FQ$6),"Moderado",IF(AND(M288=$FQ$7),"mayor",IF(AND(M288=$FQ$8),"Catastrófico",IF(AND(M288=$FQ$10),"Leve",IF(AND(M288=$FQ$11),"Menor",IF(AND(M288=$FQ$12),"Moderado",IF(AND(M288=$FQ$13),"Mayor",IF(AND(M288=$FQ$14),"Catastrófico",FALSE))))))))))</f>
        <v>Moderado</v>
      </c>
      <c r="O288" s="603" t="str">
        <f>IF(AND(N288="Leve"),"20%",IF(AND(N288="Menor"),"40%",IF(AND(N288="Moderado"),"60%",IF(AND(N288="Mayor"),"80%",IF(AND(N288="Catastrófico"),"100%","")))))</f>
        <v>60%</v>
      </c>
      <c r="P288" s="512" t="str">
        <f>IF(AND(L288&lt;="40%",O288="20%"),"Bajo",IF(AND(L288="60%",O288="20%"),"Moderado",IF(AND(L288="80%",O288="20%"),"Moderado",IF(AND(L288="100%",O288="20%"),"Alto",IF(AND(L288="20%",O288="40%"),"Bajo",IF(AND(L288="40%",O288="40%"),"Moderado",IF(AND(L288="60%",O288="40%"),"Moderado",IF(AND(L288="80%",O288="40%"),"Moderado",IF(AND(L288="100%",O288="40%"),"Alto",IF(AND(L288="20%",O288="60%"),"Moderado",IF(AND(L288="40%",O288="60%"),"Moderado",IF(AND(L288="60%",O288="60%"),"Moderado",IF(AND(L288="80%",O288="60%"),"Alto",IF(AND(L288="100%",O288="60%"),"Alto",IF(AND(L288="20%",O288="80%"),"Alto",IF(AND(L288="40%",O288="80%"),"Alto",IF(AND(L288="60%",O288="80%"),"Alto",IF(AND(L288="80%",O288="80%"),"Alto",IF(AND(L288="100%",O288="80%"),"Alto",IF(AND(L288="20%",O288="100%"),"Extremo",IF(AND(L288="40%",O288="100%"),"Extremo",IF(AND(L288="60%",O288="100%"),"Extremo",IF(AND(L288="80%",O288="100%"),"Moderado",IF(AND(L288="100%",O288="100%"),"Extremo",""""))))))))))))))))))))))))</f>
        <v>Moderado</v>
      </c>
      <c r="Q288" s="611">
        <v>1</v>
      </c>
      <c r="R288" s="141" t="s">
        <v>586</v>
      </c>
      <c r="S288" s="173" t="s">
        <v>237</v>
      </c>
      <c r="T288" s="173" t="s">
        <v>152</v>
      </c>
      <c r="U288" s="173" t="s">
        <v>153</v>
      </c>
      <c r="V288" s="173" t="str">
        <f>IF(AND(T288=$FS$2,U288=$FT$2),"50%",IF(AND(T288=$FS$2,U288=$FT$3),"40%",IF(AND(T288=$FS$3,U288=$FT$2),"40%",IF(AND(T288=$FS$3,U288=$FT$3),"30%",IF(AND(T288=$FS$4,U288=$FT$2),"35%",IF(AND(T288=$FS$4,U288=$FT$3),"25%",""))))))</f>
        <v>40%</v>
      </c>
      <c r="W288" s="173" t="s">
        <v>154</v>
      </c>
      <c r="X288" s="173" t="s">
        <v>155</v>
      </c>
      <c r="Y288" s="173" t="s">
        <v>156</v>
      </c>
      <c r="Z288" s="144">
        <f>IFERROR(IF(S288="Probabilidad",(L288-(+L288*V288)),IF(S288="Impacto",L288,"")),"")</f>
        <v>0.36</v>
      </c>
      <c r="AA288" s="604">
        <f>LOOKUP(2,1/(Z288:Z293&lt;&gt;""),Z288:Z293)</f>
        <v>0.216</v>
      </c>
      <c r="AB288" s="605"/>
      <c r="AC288" s="512" t="str">
        <f>IF(AND(AA288&lt;=20%),"Muy Baja",IF(AND(AA288&gt;=21%,AA288&lt;=40%),"Baja",IF(AND(AA288&gt;=41%,AA288&lt;=60%),"Media",IF(AND(AA288&gt;=61%,AA288&lt;=80%),"Alta",IF(AND(AA288&gt;=81%,AA288&gt;=100%),"Muy Alta",FALSE)))))</f>
        <v>Baja</v>
      </c>
      <c r="AD288" s="605" t="str">
        <f>IFERROR(IF(S288="Impacto",(O288-(+O288*V288)),IF(S288="Probabilidad",O288,"")),"")</f>
        <v>60%</v>
      </c>
      <c r="AE288" s="604" t="str">
        <f>LOOKUP(2,1/(AD288:AD293&lt;&gt;""),AD288:AD293)</f>
        <v>60%</v>
      </c>
      <c r="AF288" s="605"/>
      <c r="AG288" s="512" t="str">
        <f>IF(AND(AE288&lt;=20%),"Leve",IF(AND(AE288&gt;=21%,AE288&lt;=40%),"Menor",IF(AND(AE288&gt;="41%",AE288&lt;="60%"),"Moderado",IF(AND(AE288&gt;=61%,AE288&lt;=80%),"Mayor",IF(AND(AE288&gt;=81%,AE288&gt;=100%),"Catastrófico",FALSE)))))</f>
        <v>Moderado</v>
      </c>
      <c r="AH288" s="512" t="str">
        <f>IF(OR(AND(AC288="Media",AG288="Leve"),AND(AC288="Alta",AG288="Leve"),AND(AC288="Alta",AG288="Menor"),AND(AC288="Media",AG288="Menor"),AND(AC288="Baja",AG288="Menor"),AND(AC288="Media",AG288="Moderado"),AND(AC288="Baja",AG288="Moderado"),AND(AC288="Muy Baja",AG288="Moderado")),"Moderado",IF(OR(AND(AC288="Baja",AG288="Leve"),AND(AC288="Muy Baja",AG288="Leve"),AND(AC288="Muy Baja",AG288="Menor")),"Bajo",IF(OR(AND(AC288="Muy Alta",AG288="Leve"),AND(AC288="Muy Alta",AG288="Menor"),AND(AC288="Muy Alta",AG288="Moderado"),AND(AC288="Alta",AG288="Moderado"),AND(AC288="Muy Alta",AG288="Mayor"),AND(AC288="Alta",AG288="Mayor"),AND(AC288="Media",AG288="Mayor"),AND(AC288="Baja",AG288="Mayor"),AND(AC288="Muy Baja",AG288="Mayor")),"Alto",IF(OR(AND(AC288="Alta",AG288="Catastrófico"),AND(AC288="Muy Alta",AG288="Catastrófico"),AND(AC288="Media",AG288="Catastrófico"),AND(AC288="Baja",AG288="Catastrófico"),AND(AC288="Muy Baja",AG288="Catastrófico")),"Extremo",IF(AG288="Catastrófico","Extremo")))))</f>
        <v>Moderado</v>
      </c>
      <c r="AI288" s="512" t="s">
        <v>111</v>
      </c>
      <c r="AJ288" s="188"/>
      <c r="AK288" s="188"/>
      <c r="AL288" s="98"/>
      <c r="AM288" s="98"/>
      <c r="AN288" s="98"/>
      <c r="AO288" s="188"/>
      <c r="AP288" s="496" t="s">
        <v>587</v>
      </c>
      <c r="AQ288" s="539" t="s">
        <v>113</v>
      </c>
      <c r="AR288" s="183"/>
      <c r="AS288" s="183"/>
      <c r="AT288" s="183"/>
      <c r="AU288" s="183"/>
      <c r="AV288" s="183"/>
      <c r="AW288" s="183"/>
      <c r="FM288" s="89"/>
      <c r="FP288" s="78" t="s">
        <v>196</v>
      </c>
      <c r="FQ288" s="80" t="s">
        <v>256</v>
      </c>
    </row>
    <row r="289" spans="1:173" s="78" customFormat="1" ht="13.5" customHeight="1" x14ac:dyDescent="0.2">
      <c r="A289" s="325"/>
      <c r="B289" s="126" t="s">
        <v>582</v>
      </c>
      <c r="C289" s="325"/>
      <c r="D289" s="325"/>
      <c r="E289" s="325"/>
      <c r="F289" s="524"/>
      <c r="G289" s="325"/>
      <c r="H289" s="325"/>
      <c r="I289" s="435"/>
      <c r="J289" s="493"/>
      <c r="K289" s="435"/>
      <c r="L289" s="435"/>
      <c r="M289" s="435"/>
      <c r="N289" s="435"/>
      <c r="O289" s="606"/>
      <c r="P289" s="435"/>
      <c r="Q289" s="611">
        <v>2</v>
      </c>
      <c r="R289" s="141" t="s">
        <v>588</v>
      </c>
      <c r="S289" s="173" t="s">
        <v>237</v>
      </c>
      <c r="T289" s="173" t="s">
        <v>152</v>
      </c>
      <c r="U289" s="173" t="s">
        <v>153</v>
      </c>
      <c r="V289" s="173" t="str">
        <f t="shared" ref="V289:V293" si="129">IF(AND(T289=$FS$2,U289=$FT$2),"50%",IF(AND(T289=$FS$2,U289=$FT$3),"40%",IF(AND(T289=$FS$3,U289=$FT$2),"40%",IF(AND(T289=$FS$3,U289=$FT$3),"30%",IF(AND(T289=$FS$4,U289=$FT$2),"35%",IF(AND(T289=$FS$4,U289=$FT$3),"25%",""))))))</f>
        <v>40%</v>
      </c>
      <c r="W289" s="173" t="s">
        <v>154</v>
      </c>
      <c r="X289" s="173" t="s">
        <v>155</v>
      </c>
      <c r="Y289" s="173" t="s">
        <v>156</v>
      </c>
      <c r="Z289" s="144">
        <f>IFERROR(IF(AND(S288="Probabilidad",S289="Probabilidad"),(Z288-(+Z288*V289)),IF(S289="Probabilidad",(L288-(+L288*V289)),IF(S289="Impacto",Z288,""))),"")</f>
        <v>0.216</v>
      </c>
      <c r="AA289" s="607"/>
      <c r="AB289" s="605"/>
      <c r="AC289" s="435"/>
      <c r="AD289" s="605" t="str">
        <f>IFERROR(IF(AND(S288="Impacto",V289="Impacto"),(AD288-(+AD288*V289)),IF(S289="Impacto",(O288-(+O288*V289)),IF(S289="Probabilidad",AD288,""))),"")</f>
        <v>60%</v>
      </c>
      <c r="AE289" s="607"/>
      <c r="AF289" s="605"/>
      <c r="AG289" s="435"/>
      <c r="AH289" s="435"/>
      <c r="AI289" s="435"/>
      <c r="AJ289" s="188"/>
      <c r="AK289" s="188"/>
      <c r="AL289" s="98"/>
      <c r="AM289" s="98"/>
      <c r="AN289" s="188"/>
      <c r="AO289" s="188"/>
      <c r="AP289" s="497"/>
      <c r="AQ289" s="537"/>
      <c r="AR289" s="183"/>
      <c r="AS289" s="183"/>
      <c r="AT289" s="183"/>
      <c r="AU289" s="183"/>
      <c r="AV289" s="183"/>
      <c r="AW289" s="183"/>
      <c r="FM289" s="89"/>
      <c r="FQ289" s="87" t="s">
        <v>158</v>
      </c>
    </row>
    <row r="290" spans="1:173" s="78" customFormat="1" ht="13.5" customHeight="1" x14ac:dyDescent="0.2">
      <c r="A290" s="325"/>
      <c r="B290" s="126" t="s">
        <v>582</v>
      </c>
      <c r="C290" s="325"/>
      <c r="D290" s="325"/>
      <c r="E290" s="325"/>
      <c r="F290" s="524"/>
      <c r="G290" s="325"/>
      <c r="H290" s="325"/>
      <c r="I290" s="435"/>
      <c r="J290" s="493"/>
      <c r="K290" s="435"/>
      <c r="L290" s="435"/>
      <c r="M290" s="435"/>
      <c r="N290" s="435"/>
      <c r="O290" s="606"/>
      <c r="P290" s="435"/>
      <c r="Q290" s="611"/>
      <c r="R290" s="173"/>
      <c r="S290" s="173"/>
      <c r="T290" s="173"/>
      <c r="U290" s="173"/>
      <c r="V290" s="173" t="str">
        <f t="shared" si="129"/>
        <v/>
      </c>
      <c r="W290" s="173"/>
      <c r="X290" s="173"/>
      <c r="Y290" s="173"/>
      <c r="Z290" s="144" t="str">
        <f>IFERROR(IF(AND(S289="Probabilidad",S290="Probabilidad"),(Z289-(+Z289*V290)),IF(S290="Probabilidad",(L289-(+L289*V290)),IF(S290="Impacto",Z289,""))),"")</f>
        <v/>
      </c>
      <c r="AA290" s="607"/>
      <c r="AB290" s="605"/>
      <c r="AC290" s="435"/>
      <c r="AD290" s="605" t="str">
        <f t="shared" ref="AD290:AD293" si="130">IFERROR(IF(AND(S289="Impacto",V290="Impacto"),(AD289-(+AD289*V290)),IF(S290="Impacto",(O289-(+O289*V290)),IF(S290="Probabilidad",AD289,""))),"")</f>
        <v/>
      </c>
      <c r="AE290" s="607"/>
      <c r="AF290" s="605"/>
      <c r="AG290" s="435"/>
      <c r="AH290" s="435"/>
      <c r="AI290" s="435"/>
      <c r="AJ290" s="188"/>
      <c r="AK290" s="188"/>
      <c r="AL290" s="98"/>
      <c r="AM290" s="98"/>
      <c r="AN290" s="188"/>
      <c r="AO290" s="188"/>
      <c r="AP290" s="497"/>
      <c r="AQ290" s="537"/>
      <c r="AR290" s="183"/>
      <c r="AS290" s="183"/>
      <c r="AT290" s="183"/>
      <c r="AU290" s="183"/>
      <c r="AV290" s="183"/>
      <c r="AW290" s="183"/>
      <c r="FM290" s="89"/>
      <c r="FQ290" s="87" t="s">
        <v>160</v>
      </c>
    </row>
    <row r="291" spans="1:173" s="78" customFormat="1" ht="13.5" customHeight="1" x14ac:dyDescent="0.2">
      <c r="A291" s="325"/>
      <c r="B291" s="126" t="s">
        <v>582</v>
      </c>
      <c r="C291" s="325"/>
      <c r="D291" s="325"/>
      <c r="E291" s="325"/>
      <c r="F291" s="524"/>
      <c r="G291" s="325"/>
      <c r="H291" s="325"/>
      <c r="I291" s="435"/>
      <c r="J291" s="493"/>
      <c r="K291" s="435"/>
      <c r="L291" s="435"/>
      <c r="M291" s="435"/>
      <c r="N291" s="435"/>
      <c r="O291" s="606"/>
      <c r="P291" s="435"/>
      <c r="Q291" s="611"/>
      <c r="R291" s="173"/>
      <c r="S291" s="173"/>
      <c r="T291" s="173"/>
      <c r="U291" s="173"/>
      <c r="V291" s="173" t="str">
        <f t="shared" si="129"/>
        <v/>
      </c>
      <c r="W291" s="173"/>
      <c r="X291" s="173"/>
      <c r="Y291" s="173"/>
      <c r="Z291" s="144" t="str">
        <f>IFERROR(IF(AND(S290="Probabilidad",S291="Probabilidad"),(Z290-(+Z290*V291)),IF(S291="Probabilidad",(L290-(+L290*V291)),IF(S291="Impacto",Z290,""))),"")</f>
        <v/>
      </c>
      <c r="AA291" s="607"/>
      <c r="AB291" s="605"/>
      <c r="AC291" s="435"/>
      <c r="AD291" s="605" t="str">
        <f t="shared" si="130"/>
        <v/>
      </c>
      <c r="AE291" s="607"/>
      <c r="AF291" s="605"/>
      <c r="AG291" s="435"/>
      <c r="AH291" s="435"/>
      <c r="AI291" s="435"/>
      <c r="AJ291" s="188"/>
      <c r="AK291" s="188"/>
      <c r="AL291" s="98"/>
      <c r="AM291" s="98"/>
      <c r="AN291" s="188"/>
      <c r="AO291" s="188"/>
      <c r="AP291" s="497"/>
      <c r="AQ291" s="537"/>
      <c r="AR291" s="183"/>
      <c r="AS291" s="183"/>
      <c r="AT291" s="183"/>
      <c r="AU291" s="183"/>
      <c r="AV291" s="183"/>
      <c r="AW291" s="183"/>
      <c r="FM291" s="89"/>
      <c r="FQ291" s="87" t="s">
        <v>162</v>
      </c>
    </row>
    <row r="292" spans="1:173" s="78" customFormat="1" ht="13.5" customHeight="1" x14ac:dyDescent="0.2">
      <c r="A292" s="325"/>
      <c r="B292" s="126" t="s">
        <v>582</v>
      </c>
      <c r="C292" s="325"/>
      <c r="D292" s="325"/>
      <c r="E292" s="325"/>
      <c r="F292" s="524"/>
      <c r="G292" s="325"/>
      <c r="H292" s="325"/>
      <c r="I292" s="435"/>
      <c r="J292" s="493"/>
      <c r="K292" s="435"/>
      <c r="L292" s="435"/>
      <c r="M292" s="435"/>
      <c r="N292" s="435"/>
      <c r="O292" s="606"/>
      <c r="P292" s="435"/>
      <c r="Q292" s="611"/>
      <c r="R292" s="173"/>
      <c r="S292" s="173"/>
      <c r="T292" s="173"/>
      <c r="U292" s="173"/>
      <c r="V292" s="173" t="str">
        <f t="shared" si="129"/>
        <v/>
      </c>
      <c r="W292" s="173"/>
      <c r="X292" s="173"/>
      <c r="Y292" s="173"/>
      <c r="Z292" s="144" t="str">
        <f>IFERROR(IF(AND(S291="Probabilidad",S292="Probabilidad"),(Z291-(+Z291*V292)),IF(S292="Probabilidad",(L291-(+L291*V292)),IF(S292="Impacto",Z291,""))),"")</f>
        <v/>
      </c>
      <c r="AA292" s="607"/>
      <c r="AB292" s="605"/>
      <c r="AC292" s="435"/>
      <c r="AD292" s="605" t="str">
        <f t="shared" si="130"/>
        <v/>
      </c>
      <c r="AE292" s="607"/>
      <c r="AF292" s="605"/>
      <c r="AG292" s="435"/>
      <c r="AH292" s="435"/>
      <c r="AI292" s="435"/>
      <c r="AJ292" s="188"/>
      <c r="AK292" s="188"/>
      <c r="AL292" s="98"/>
      <c r="AM292" s="98"/>
      <c r="AN292" s="188"/>
      <c r="AO292" s="188"/>
      <c r="AP292" s="497"/>
      <c r="AQ292" s="537"/>
      <c r="AR292" s="183"/>
      <c r="AS292" s="183"/>
      <c r="AT292" s="183"/>
      <c r="AU292" s="183"/>
      <c r="AV292" s="183"/>
      <c r="AW292" s="183"/>
      <c r="FM292" s="89"/>
      <c r="FQ292" s="87" t="s">
        <v>257</v>
      </c>
    </row>
    <row r="293" spans="1:173" s="78" customFormat="1" ht="13.5" customHeight="1" x14ac:dyDescent="0.2">
      <c r="A293" s="459"/>
      <c r="B293" s="126" t="s">
        <v>582</v>
      </c>
      <c r="C293" s="459"/>
      <c r="D293" s="459"/>
      <c r="E293" s="459"/>
      <c r="F293" s="525"/>
      <c r="G293" s="459"/>
      <c r="H293" s="459"/>
      <c r="I293" s="436"/>
      <c r="J293" s="494"/>
      <c r="K293" s="436"/>
      <c r="L293" s="436"/>
      <c r="M293" s="436"/>
      <c r="N293" s="436"/>
      <c r="O293" s="608"/>
      <c r="P293" s="436"/>
      <c r="Q293" s="611"/>
      <c r="R293" s="173"/>
      <c r="S293" s="173"/>
      <c r="T293" s="173"/>
      <c r="U293" s="173"/>
      <c r="V293" s="173" t="str">
        <f t="shared" si="129"/>
        <v/>
      </c>
      <c r="W293" s="173"/>
      <c r="X293" s="173"/>
      <c r="Y293" s="173"/>
      <c r="Z293" s="144" t="str">
        <f>IFERROR(IF(AND(S292="Probabilidad",S293="Probabilidad"),(Z292-(+Z292*V293)),IF(S293="Probabilidad",(L292-(+L292*V293)),IF(S293="Impacto",Z292,""))),"")</f>
        <v/>
      </c>
      <c r="AA293" s="609"/>
      <c r="AB293" s="605"/>
      <c r="AC293" s="436"/>
      <c r="AD293" s="605" t="str">
        <f t="shared" si="130"/>
        <v/>
      </c>
      <c r="AE293" s="609"/>
      <c r="AF293" s="605"/>
      <c r="AG293" s="436"/>
      <c r="AH293" s="436"/>
      <c r="AI293" s="436"/>
      <c r="AJ293" s="188"/>
      <c r="AK293" s="188"/>
      <c r="AL293" s="98"/>
      <c r="AM293" s="98"/>
      <c r="AN293" s="188"/>
      <c r="AO293" s="188"/>
      <c r="AP293" s="498"/>
      <c r="AQ293" s="538"/>
      <c r="AR293" s="183"/>
      <c r="AS293" s="183"/>
      <c r="AT293" s="183"/>
      <c r="AU293" s="183"/>
      <c r="AV293" s="183"/>
      <c r="AW293" s="183"/>
      <c r="FM293" s="89"/>
      <c r="FQ293" s="87" t="s">
        <v>170</v>
      </c>
    </row>
    <row r="294" spans="1:173" s="78" customFormat="1" ht="13.5" customHeight="1" x14ac:dyDescent="0.2">
      <c r="A294" s="444">
        <v>55</v>
      </c>
      <c r="B294" s="126" t="s">
        <v>582</v>
      </c>
      <c r="C294" s="444" t="s">
        <v>248</v>
      </c>
      <c r="D294" s="444" t="s">
        <v>589</v>
      </c>
      <c r="E294" s="444" t="s">
        <v>842</v>
      </c>
      <c r="F294" s="523" t="s">
        <v>843</v>
      </c>
      <c r="G294" s="444" t="s">
        <v>149</v>
      </c>
      <c r="H294" s="444" t="s">
        <v>150</v>
      </c>
      <c r="I294" s="434" t="s">
        <v>83</v>
      </c>
      <c r="J294" s="492">
        <v>7</v>
      </c>
      <c r="K294" s="434" t="str">
        <f>IF(AND(J294&lt;=2),"Muy Baja",IF(AND(J294&gt;=3,J294&lt;=23),"Baja",IF(AND(J294&gt;=24,J294&lt;=499),"Media",IF(AND(J294&gt;=500,J294&lt;=4999),"Alta",IF(AND(J294&gt;=5000),"Muy Alta",FALSE)))))</f>
        <v>Baja</v>
      </c>
      <c r="L294" s="434" t="str">
        <f>IF(AND(J294&lt;=2),"20%",IF(AND(J294&gt;=3,J294&lt;=23),"40%",IF(AND(J294&gt;=24,J294&lt;=499),"60%",IF(AND(J294&gt;=500,J294&lt;=4999),"80%",IF(AND(J294&gt;=5000),"100%",FALSE)))))</f>
        <v>40%</v>
      </c>
      <c r="M294" s="434" t="s">
        <v>162</v>
      </c>
      <c r="N294" s="434" t="str">
        <f>IF(AND(M294=$FQ$4),"Leve",IF(AND(M294=$FQ$5),"Menor",IF(AND(M294=$FQ$6),"Moderado",IF(AND(M294=$FQ$7),"mayor",IF(AND(M294=$FQ$8),"Catastrófico",IF(AND(M294=$FQ$10),"Leve",IF(AND(M294=$FQ$11),"Menor",IF(AND(M294=$FQ$12),"Moderado",IF(AND(M294=$FQ$13),"Mayor",IF(AND(M294=$FQ$14),"Catastrófico",FALSE))))))))))</f>
        <v>Moderado</v>
      </c>
      <c r="O294" s="610" t="str">
        <f>IF(AND(N294="Leve"),"20%",IF(AND(N294="Menor"),"40%",IF(AND(N294="Moderado"),"60%",IF(AND(N294="Mayor"),"80%",IF(AND(N294="Catastrófico"),"100%","")))))</f>
        <v>60%</v>
      </c>
      <c r="P294" s="434" t="str">
        <f>IF(AND(L294&lt;="40%",O294="20%"),"Bajo",IF(AND(L294="60%",O294="20%"),"Moderado",IF(AND(L294="80%",O294="20%"),"Moderado",IF(AND(L294="100%",O294="20%"),"Alto",IF(AND(L294="20%",O294="40%"),"Bajo",IF(AND(L294="40%",O294="40%"),"Moderado",IF(AND(L294="60%",O294="40%"),"Moderado",IF(AND(L294="80%",O294="40%"),"Moderado",IF(AND(L294="100%",O294="40%"),"Alto",IF(AND(L294="20%",O294="60%"),"Moderado",IF(AND(L294="40%",O294="60%"),"Moderado",IF(AND(L294="60%",O294="60%"),"Moderado",IF(AND(L294="80%",O294="60%"),"Alto",IF(AND(L294="100%",O294="60%"),"Alto",IF(AND(L294="20%",O294="80%"),"Alto",IF(AND(L294="40%",O294="80%"),"Alto",IF(AND(L294="60%",O294="80%"),"Alto",IF(AND(L294="80%",O294="80%"),"Alto",IF(AND(L294="100%",O294="80%"),"Alto",IF(AND(L294="20%",O294="100%"),"Extremo",IF(AND(L294="40%",O294="100%"),"Extremo",IF(AND(L294="60%",O294="100%"),"Extremo",IF(AND(L294="80%",O294="100%"),"Moderado",IF(AND(L294="100%",O294="100%"),"Extremo",""""))))))))))))))))))))))))</f>
        <v>Moderado</v>
      </c>
      <c r="Q294" s="611">
        <v>1</v>
      </c>
      <c r="R294" s="141" t="s">
        <v>590</v>
      </c>
      <c r="S294" s="173" t="s">
        <v>237</v>
      </c>
      <c r="T294" s="173" t="s">
        <v>152</v>
      </c>
      <c r="U294" s="173" t="s">
        <v>153</v>
      </c>
      <c r="V294" s="173" t="str">
        <f>IF(AND(T294=$FS$2,U294=$FT$2),"50%",IF(AND(T294=$FS$2,U294=$FT$3),"40%",IF(AND(T294=$FS$3,U294=$FT$2),"40%",IF(AND(T294=$FS$3,U294=$FT$3),"30%",IF(AND(T294=$FS$4,U294=$FT$2),"35%",IF(AND(T294=$FS$4,U294=$FT$3),"25%",""))))))</f>
        <v>40%</v>
      </c>
      <c r="W294" s="173" t="s">
        <v>154</v>
      </c>
      <c r="X294" s="173" t="s">
        <v>155</v>
      </c>
      <c r="Y294" s="173" t="s">
        <v>156</v>
      </c>
      <c r="Z294" s="144">
        <f>IFERROR(IF(S294="Probabilidad",(L294-(+L294*V294)),IF(S294="Impacto",L294,"")),"")</f>
        <v>0.24</v>
      </c>
      <c r="AA294" s="612">
        <f>LOOKUP(2,1/(Z294:Z299&lt;&gt;""),Z294:Z299)</f>
        <v>0.14399999999999999</v>
      </c>
      <c r="AB294" s="605"/>
      <c r="AC294" s="434" t="str">
        <f>IF(AND(AA294&lt;=20%),"Muy Baja",IF(AND(AA294&gt;=21%,AA294&lt;=40%),"Baja",IF(AND(AA294&gt;=41%,AA294&lt;=60%),"Media",IF(AND(AA294&gt;=61%,AA294&lt;=80%),"Alta",IF(AND(AA294&gt;=81%,AA294&gt;=100%),"Muy Alta",FALSE)))))</f>
        <v>Muy Baja</v>
      </c>
      <c r="AD294" s="605" t="str">
        <f>IFERROR(IF(S294="Impacto",(O294-(+O294*V294)),IF(S294="Probabilidad",O294,"")),"")</f>
        <v>60%</v>
      </c>
      <c r="AE294" s="612" t="str">
        <f>LOOKUP(2,1/(AD294:AD299&lt;&gt;""),AD294:AD299)</f>
        <v>60%</v>
      </c>
      <c r="AF294" s="605"/>
      <c r="AG294" s="434" t="str">
        <f>IF(AND(AE294&lt;=20%),"Leve",IF(AND(AE294&gt;=21%,AE294&lt;=40%),"Menor",IF(AND(AE294&gt;="41%",AE294&lt;="60%"),"Moderado",IF(AND(AE294&gt;=61%,AE294&lt;=80%),"Mayor",IF(AND(AE294&gt;=81%,AE294&gt;=100%),"Catastrófico",FALSE)))))</f>
        <v>Moderado</v>
      </c>
      <c r="AH294" s="434" t="str">
        <f>IF(OR(AND(AC294="Media",AG294="Leve"),AND(AC294="Alta",AG294="Leve"),AND(AC294="Alta",AG294="Menor"),AND(AC294="Media",AG294="Menor"),AND(AC294="Baja",AG294="Menor"),AND(AC294="Media",AG294="Moderado"),AND(AC294="Baja",AG294="Moderado"),AND(AC294="Muy Baja",AG294="Moderado")),"Moderado",IF(OR(AND(AC294="Baja",AG294="Leve"),AND(AC294="Muy Baja",AG294="Leve"),AND(AC294="Muy Baja",AG294="Menor")),"Bajo",IF(OR(AND(AC294="Muy Alta",AG294="Leve"),AND(AC294="Muy Alta",AG294="Menor"),AND(AC294="Muy Alta",AG294="Moderado"),AND(AC294="Alta",AG294="Moderado"),AND(AC294="Muy Alta",AG294="Mayor"),AND(AC294="Alta",AG294="Mayor"),AND(AC294="Media",AG294="Mayor"),AND(AC294="Baja",AG294="Mayor"),AND(AC294="Muy Baja",AG294="Mayor")),"Alto",IF(OR(AND(AC294="Alta",AG294="Catastrófico"),AND(AC294="Muy Alta",AG294="Catastrófico"),AND(AC294="Media",AG294="Catastrófico"),AND(AC294="Baja",AG294="Catastrófico"),AND(AC294="Muy Baja",AG294="Catastrófico")),"Extremo",IF(AG294="Catastrófico","Extremo")))))</f>
        <v>Moderado</v>
      </c>
      <c r="AI294" s="434" t="s">
        <v>77</v>
      </c>
      <c r="AJ294" s="188"/>
      <c r="AK294" s="188"/>
      <c r="AL294" s="98"/>
      <c r="AM294" s="98"/>
      <c r="AN294" s="92"/>
      <c r="AO294" s="188"/>
      <c r="AP294" s="496" t="s">
        <v>591</v>
      </c>
      <c r="AQ294" s="539" t="s">
        <v>113</v>
      </c>
      <c r="AR294" s="183"/>
      <c r="AS294" s="183"/>
      <c r="AT294" s="183"/>
      <c r="AU294" s="183"/>
      <c r="AV294" s="183"/>
      <c r="AW294" s="183"/>
      <c r="FM294" s="89"/>
      <c r="FQ294" s="80"/>
    </row>
    <row r="295" spans="1:173" s="78" customFormat="1" ht="13.5" customHeight="1" x14ac:dyDescent="0.25">
      <c r="A295" s="325"/>
      <c r="B295" s="126" t="s">
        <v>582</v>
      </c>
      <c r="C295" s="325"/>
      <c r="D295" s="325"/>
      <c r="E295" s="325"/>
      <c r="F295" s="524"/>
      <c r="G295" s="325"/>
      <c r="H295" s="325"/>
      <c r="I295" s="435"/>
      <c r="J295" s="493"/>
      <c r="K295" s="435"/>
      <c r="L295" s="435"/>
      <c r="M295" s="435"/>
      <c r="N295" s="435"/>
      <c r="O295" s="606"/>
      <c r="P295" s="435"/>
      <c r="Q295" s="611">
        <v>2</v>
      </c>
      <c r="R295" s="141" t="s">
        <v>592</v>
      </c>
      <c r="S295" s="173" t="s">
        <v>237</v>
      </c>
      <c r="T295" s="173" t="s">
        <v>152</v>
      </c>
      <c r="U295" s="173" t="s">
        <v>153</v>
      </c>
      <c r="V295" s="173" t="str">
        <f t="shared" ref="V295:V299" si="131">IF(AND(T295=$FS$2,U295=$FT$2),"50%",IF(AND(T295=$FS$2,U295=$FT$3),"40%",IF(AND(T295=$FS$3,U295=$FT$2),"40%",IF(AND(T295=$FS$3,U295=$FT$3),"30%",IF(AND(T295=$FS$4,U295=$FT$2),"35%",IF(AND(T295=$FS$4,U295=$FT$3),"25%",""))))))</f>
        <v>40%</v>
      </c>
      <c r="W295" s="173" t="s">
        <v>154</v>
      </c>
      <c r="X295" s="173" t="s">
        <v>155</v>
      </c>
      <c r="Y295" s="173" t="s">
        <v>156</v>
      </c>
      <c r="Z295" s="144">
        <f>IFERROR(IF(AND(S294="Probabilidad",S295="Probabilidad"),(Z294-(+Z294*V295)),IF(S295="Probabilidad",(L294-(+L294*V295)),IF(S295="Impacto",Z294,""))),"")</f>
        <v>0.14399999999999999</v>
      </c>
      <c r="AA295" s="607"/>
      <c r="AB295" s="605"/>
      <c r="AC295" s="435"/>
      <c r="AD295" s="605" t="str">
        <f>IFERROR(IF(AND(S294="Impacto",V295="Impacto"),(AD294-(+AD294*V295)),IF(S295="Impacto",(O294-(+O294*V295)),IF(S295="Probabilidad",AD294,""))),"")</f>
        <v>60%</v>
      </c>
      <c r="AE295" s="607"/>
      <c r="AF295" s="605"/>
      <c r="AG295" s="435"/>
      <c r="AH295" s="435"/>
      <c r="AI295" s="435"/>
      <c r="AJ295" s="188"/>
      <c r="AK295" s="188"/>
      <c r="AL295" s="98"/>
      <c r="AM295" s="98"/>
      <c r="AN295" s="188"/>
      <c r="AO295" s="188"/>
      <c r="AP295" s="497"/>
      <c r="AQ295" s="537"/>
      <c r="AR295" s="183"/>
      <c r="AS295" s="183"/>
      <c r="AT295" s="183"/>
      <c r="AU295" s="183"/>
      <c r="AV295" s="183"/>
      <c r="AW295" s="183"/>
      <c r="FM295" s="89"/>
    </row>
    <row r="296" spans="1:173" s="78" customFormat="1" ht="13.5" customHeight="1" x14ac:dyDescent="0.25">
      <c r="A296" s="325"/>
      <c r="B296" s="126" t="s">
        <v>582</v>
      </c>
      <c r="C296" s="325"/>
      <c r="D296" s="325"/>
      <c r="E296" s="325"/>
      <c r="F296" s="524"/>
      <c r="G296" s="325"/>
      <c r="H296" s="325"/>
      <c r="I296" s="435"/>
      <c r="J296" s="493"/>
      <c r="K296" s="435"/>
      <c r="L296" s="435"/>
      <c r="M296" s="435"/>
      <c r="N296" s="435"/>
      <c r="O296" s="606"/>
      <c r="P296" s="435"/>
      <c r="Q296" s="611"/>
      <c r="R296" s="173"/>
      <c r="S296" s="173"/>
      <c r="T296" s="173"/>
      <c r="U296" s="173"/>
      <c r="V296" s="173" t="str">
        <f t="shared" si="131"/>
        <v/>
      </c>
      <c r="W296" s="173"/>
      <c r="X296" s="173"/>
      <c r="Y296" s="173"/>
      <c r="Z296" s="144" t="str">
        <f>IFERROR(IF(AND(S295="Probabilidad",S296="Probabilidad"),(Z295-(+Z295*V296)),IF(S296="Probabilidad",(L295-(+L295*V296)),IF(S296="Impacto",Z295,""))),"")</f>
        <v/>
      </c>
      <c r="AA296" s="607"/>
      <c r="AB296" s="605"/>
      <c r="AC296" s="435"/>
      <c r="AD296" s="605" t="str">
        <f t="shared" ref="AD296:AD299" si="132">IFERROR(IF(AND(S295="Impacto",V296="Impacto"),(AD295-(+AD295*V296)),IF(S296="Impacto",(O295-(+O295*V296)),IF(S296="Probabilidad",AD295,""))),"")</f>
        <v/>
      </c>
      <c r="AE296" s="607"/>
      <c r="AF296" s="605"/>
      <c r="AG296" s="435"/>
      <c r="AH296" s="435"/>
      <c r="AI296" s="435"/>
      <c r="AJ296" s="188"/>
      <c r="AK296" s="188"/>
      <c r="AL296" s="98"/>
      <c r="AM296" s="98"/>
      <c r="AN296" s="188"/>
      <c r="AO296" s="188"/>
      <c r="AP296" s="497"/>
      <c r="AQ296" s="537"/>
      <c r="AR296" s="183"/>
      <c r="AS296" s="183"/>
      <c r="AT296" s="183"/>
      <c r="AU296" s="183"/>
      <c r="AV296" s="183"/>
      <c r="AW296" s="183"/>
      <c r="FM296" s="89"/>
    </row>
    <row r="297" spans="1:173" s="78" customFormat="1" ht="13.5" customHeight="1" x14ac:dyDescent="0.25">
      <c r="A297" s="325"/>
      <c r="B297" s="126" t="s">
        <v>582</v>
      </c>
      <c r="C297" s="325"/>
      <c r="D297" s="325"/>
      <c r="E297" s="325"/>
      <c r="F297" s="524"/>
      <c r="G297" s="325"/>
      <c r="H297" s="325"/>
      <c r="I297" s="435"/>
      <c r="J297" s="493"/>
      <c r="K297" s="435"/>
      <c r="L297" s="435"/>
      <c r="M297" s="435"/>
      <c r="N297" s="435"/>
      <c r="O297" s="606"/>
      <c r="P297" s="435"/>
      <c r="Q297" s="611"/>
      <c r="R297" s="173"/>
      <c r="S297" s="173"/>
      <c r="T297" s="173"/>
      <c r="U297" s="173"/>
      <c r="V297" s="173" t="str">
        <f t="shared" si="131"/>
        <v/>
      </c>
      <c r="W297" s="173"/>
      <c r="X297" s="173"/>
      <c r="Y297" s="173"/>
      <c r="Z297" s="144" t="str">
        <f>IFERROR(IF(AND(S296="Probabilidad",S297="Probabilidad"),(Z296-(+Z296*V297)),IF(S297="Probabilidad",(L296-(+L296*V297)),IF(S297="Impacto",Z296,""))),"")</f>
        <v/>
      </c>
      <c r="AA297" s="607"/>
      <c r="AB297" s="605"/>
      <c r="AC297" s="435"/>
      <c r="AD297" s="605" t="str">
        <f t="shared" si="132"/>
        <v/>
      </c>
      <c r="AE297" s="607"/>
      <c r="AF297" s="605"/>
      <c r="AG297" s="435"/>
      <c r="AH297" s="435"/>
      <c r="AI297" s="435"/>
      <c r="AJ297" s="188"/>
      <c r="AK297" s="188"/>
      <c r="AL297" s="98"/>
      <c r="AM297" s="98"/>
      <c r="AN297" s="188"/>
      <c r="AO297" s="188"/>
      <c r="AP297" s="497"/>
      <c r="AQ297" s="537"/>
      <c r="AR297" s="183"/>
      <c r="AS297" s="183"/>
      <c r="AT297" s="183"/>
      <c r="AU297" s="183"/>
      <c r="AV297" s="183"/>
      <c r="AW297" s="183"/>
      <c r="FM297" s="89"/>
    </row>
    <row r="298" spans="1:173" s="78" customFormat="1" ht="13.5" customHeight="1" x14ac:dyDescent="0.25">
      <c r="A298" s="325"/>
      <c r="B298" s="126" t="s">
        <v>582</v>
      </c>
      <c r="C298" s="325"/>
      <c r="D298" s="325"/>
      <c r="E298" s="325"/>
      <c r="F298" s="524"/>
      <c r="G298" s="325"/>
      <c r="H298" s="325"/>
      <c r="I298" s="435"/>
      <c r="J298" s="493"/>
      <c r="K298" s="435"/>
      <c r="L298" s="435"/>
      <c r="M298" s="435"/>
      <c r="N298" s="435"/>
      <c r="O298" s="606"/>
      <c r="P298" s="435"/>
      <c r="Q298" s="611"/>
      <c r="R298" s="173"/>
      <c r="S298" s="173"/>
      <c r="T298" s="173"/>
      <c r="U298" s="173"/>
      <c r="V298" s="173" t="str">
        <f t="shared" si="131"/>
        <v/>
      </c>
      <c r="W298" s="173"/>
      <c r="X298" s="173"/>
      <c r="Y298" s="173"/>
      <c r="Z298" s="144" t="str">
        <f>IFERROR(IF(AND(S297="Probabilidad",S298="Probabilidad"),(Z297-(+Z297*V298)),IF(S298="Probabilidad",(L297-(+L297*V298)),IF(S298="Impacto",Z297,""))),"")</f>
        <v/>
      </c>
      <c r="AA298" s="607"/>
      <c r="AB298" s="605"/>
      <c r="AC298" s="435"/>
      <c r="AD298" s="605" t="str">
        <f t="shared" si="132"/>
        <v/>
      </c>
      <c r="AE298" s="607"/>
      <c r="AF298" s="605"/>
      <c r="AG298" s="435"/>
      <c r="AH298" s="435"/>
      <c r="AI298" s="435"/>
      <c r="AJ298" s="188"/>
      <c r="AK298" s="188"/>
      <c r="AL298" s="98"/>
      <c r="AM298" s="98"/>
      <c r="AN298" s="188"/>
      <c r="AO298" s="188"/>
      <c r="AP298" s="497"/>
      <c r="AQ298" s="537"/>
      <c r="AR298" s="183"/>
      <c r="AS298" s="183"/>
      <c r="AT298" s="183"/>
      <c r="AU298" s="183"/>
      <c r="AV298" s="183"/>
      <c r="AW298" s="183"/>
      <c r="FM298" s="89"/>
    </row>
    <row r="299" spans="1:173" s="78" customFormat="1" ht="13.5" customHeight="1" x14ac:dyDescent="0.25">
      <c r="A299" s="459"/>
      <c r="B299" s="126" t="s">
        <v>582</v>
      </c>
      <c r="C299" s="459"/>
      <c r="D299" s="459"/>
      <c r="E299" s="459"/>
      <c r="F299" s="525"/>
      <c r="G299" s="459"/>
      <c r="H299" s="459"/>
      <c r="I299" s="436"/>
      <c r="J299" s="494"/>
      <c r="K299" s="436"/>
      <c r="L299" s="436"/>
      <c r="M299" s="436"/>
      <c r="N299" s="436"/>
      <c r="O299" s="608"/>
      <c r="P299" s="436"/>
      <c r="Q299" s="611"/>
      <c r="R299" s="173"/>
      <c r="S299" s="173"/>
      <c r="T299" s="173"/>
      <c r="U299" s="173"/>
      <c r="V299" s="173" t="str">
        <f t="shared" si="131"/>
        <v/>
      </c>
      <c r="W299" s="173"/>
      <c r="X299" s="173"/>
      <c r="Y299" s="173"/>
      <c r="Z299" s="144" t="str">
        <f>IFERROR(IF(AND(S298="Probabilidad",S299="Probabilidad"),(Z298-(+Z298*V299)),IF(S299="Probabilidad",(L298-(+L298*V299)),IF(S299="Impacto",Z298,""))),"")</f>
        <v/>
      </c>
      <c r="AA299" s="609"/>
      <c r="AB299" s="605"/>
      <c r="AC299" s="436"/>
      <c r="AD299" s="605" t="str">
        <f t="shared" si="132"/>
        <v/>
      </c>
      <c r="AE299" s="609"/>
      <c r="AF299" s="605"/>
      <c r="AG299" s="436"/>
      <c r="AH299" s="436"/>
      <c r="AI299" s="436"/>
      <c r="AJ299" s="188"/>
      <c r="AK299" s="188"/>
      <c r="AL299" s="98"/>
      <c r="AM299" s="98"/>
      <c r="AN299" s="188"/>
      <c r="AO299" s="188"/>
      <c r="AP299" s="498"/>
      <c r="AQ299" s="538"/>
      <c r="AR299" s="183"/>
      <c r="AS299" s="183"/>
      <c r="AT299" s="183"/>
      <c r="AU299" s="183"/>
      <c r="AV299" s="183"/>
      <c r="AW299" s="183"/>
      <c r="FM299" s="89"/>
      <c r="FQ299" s="79"/>
    </row>
    <row r="300" spans="1:173" s="78" customFormat="1" ht="13.5" customHeight="1" x14ac:dyDescent="0.2">
      <c r="A300" s="444">
        <v>56</v>
      </c>
      <c r="B300" s="126" t="s">
        <v>582</v>
      </c>
      <c r="C300" s="444" t="s">
        <v>260</v>
      </c>
      <c r="D300" s="444" t="s">
        <v>593</v>
      </c>
      <c r="E300" s="444" t="s">
        <v>594</v>
      </c>
      <c r="F300" s="523" t="s">
        <v>595</v>
      </c>
      <c r="G300" s="444" t="s">
        <v>149</v>
      </c>
      <c r="H300" s="444" t="s">
        <v>270</v>
      </c>
      <c r="I300" s="434" t="s">
        <v>83</v>
      </c>
      <c r="J300" s="492">
        <v>30</v>
      </c>
      <c r="K300" s="434" t="str">
        <f>IF(AND(J300&lt;=2),"Muy Baja",IF(AND(J300&gt;=3,J300&lt;=23),"Baja",IF(AND(J300&gt;=24,J300&lt;=499),"Media",IF(AND(J300&gt;=500,J300&lt;=4999),"Alta",IF(AND(J300&gt;=5000),"Muy Alta",FALSE)))))</f>
        <v>Media</v>
      </c>
      <c r="L300" s="434" t="str">
        <f>IF(AND(J300&lt;=2),"20%",IF(AND(J300&gt;=3,J300&lt;=23),"40%",IF(AND(J300&gt;=24,J300&lt;=499),"60%",IF(AND(J300&gt;=500,J300&lt;=4999),"80%",IF(AND(J300&gt;=5000),"100%",FALSE)))))</f>
        <v>60%</v>
      </c>
      <c r="M300" s="434" t="s">
        <v>173</v>
      </c>
      <c r="N300" s="434" t="str">
        <f>IF(AND(M300=$FQ$4),"Leve",IF(AND(M300=$FQ$5),"Menor",IF(AND(M300=$FQ$6),"Moderado",IF(AND(M300=$FQ$7),"mayor",IF(AND(M300=$FQ$8),"Catastrófico",IF(AND(M300=$FQ$10),"Leve",IF(AND(M300=$FQ$11),"Menor",IF(AND(M300=$FQ$12),"Moderado",IF(AND(M300=$FQ$13),"Mayor",IF(AND(M300=$FQ$14),"Catastrófico",FALSE))))))))))</f>
        <v>Menor</v>
      </c>
      <c r="O300" s="610" t="str">
        <f>IF(AND(N300="Leve"),"20%",IF(AND(N300="Menor"),"40%",IF(AND(N300="Moderado"),"60%",IF(AND(N300="Mayor"),"80%",IF(AND(N300="Catastrófico"),"100%","")))))</f>
        <v>40%</v>
      </c>
      <c r="P300" s="434" t="str">
        <f>IF(AND(L300&lt;="40%",O300="20%"),"Bajo",IF(AND(L300="60%",O300="20%"),"Moderado",IF(AND(L300="80%",O300="20%"),"Moderado",IF(AND(L300="100%",O300="20%"),"Alto",IF(AND(L300="20%",O300="40%"),"Bajo",IF(AND(L300="40%",O300="40%"),"Moderado",IF(AND(L300="60%",O300="40%"),"Moderado",IF(AND(L300="80%",O300="40%"),"Moderado",IF(AND(L300="100%",O300="40%"),"Alto",IF(AND(L300="20%",O300="60%"),"Moderado",IF(AND(L300="40%",O300="60%"),"Moderado",IF(AND(L300="60%",O300="60%"),"Moderado",IF(AND(L300="80%",O300="60%"),"Alto",IF(AND(L300="100%",O300="60%"),"Alto",IF(AND(L300="20%",O300="80%"),"Alto",IF(AND(L300="40%",O300="80%"),"Alto",IF(AND(L300="60%",O300="80%"),"Alto",IF(AND(L300="80%",O300="80%"),"Alto",IF(AND(L300="100%",O300="80%"),"Alto",IF(AND(L300="20%",O300="100%"),"Extremo",IF(AND(L300="40%",O300="100%"),"Extremo",IF(AND(L300="60%",O300="100%"),"Extremo",IF(AND(L300="80%",O300="100%"),"Moderado",IF(AND(L300="100%",O300="100%"),"Extremo",""""))))))))))))))))))))))))</f>
        <v>Moderado</v>
      </c>
      <c r="Q300" s="611">
        <v>1</v>
      </c>
      <c r="R300" s="142" t="s">
        <v>844</v>
      </c>
      <c r="S300" s="173" t="s">
        <v>237</v>
      </c>
      <c r="T300" s="173" t="s">
        <v>152</v>
      </c>
      <c r="U300" s="173" t="s">
        <v>153</v>
      </c>
      <c r="V300" s="173" t="str">
        <f>IF(AND(T300=$FS$2,U300=$FT$2),"50%",IF(AND(T300=$FS$2,U300=$FT$3),"40%",IF(AND(T300=$FS$3,U300=$FT$2),"40%",IF(AND(T300=$FS$3,U300=$FT$3),"30%",IF(AND(T300=$FS$4,U300=$FT$2),"35%",IF(AND(T300=$FS$4,U300=$FT$3),"25%",""))))))</f>
        <v>40%</v>
      </c>
      <c r="W300" s="173" t="s">
        <v>154</v>
      </c>
      <c r="X300" s="173" t="s">
        <v>155</v>
      </c>
      <c r="Y300" s="173" t="s">
        <v>156</v>
      </c>
      <c r="Z300" s="144">
        <f>IFERROR(IF(S300="Probabilidad",(L300-(+L300*V300)),IF(S300="Impacto",L300,"")),"")</f>
        <v>0.36</v>
      </c>
      <c r="AA300" s="612">
        <f>LOOKUP(2,1/(Z300:Z305&lt;&gt;""),Z300:Z305)</f>
        <v>0.27</v>
      </c>
      <c r="AB300" s="605"/>
      <c r="AC300" s="434" t="str">
        <f>IF(AND(AA300&lt;=20%),"Muy Baja",IF(AND(AA300&gt;=21%,AA300&lt;=40%),"Baja",IF(AND(AA300&gt;=41%,AA300&lt;=60%),"Media",IF(AND(AA300&gt;=61%,AA300&lt;=80%),"Alta",IF(AND(AA300&gt;=81%,AA300&gt;=100%),"Muy Alta",FALSE)))))</f>
        <v>Baja</v>
      </c>
      <c r="AD300" s="605" t="str">
        <f>IFERROR(IF(S300="Impacto",(O300-(+O300*V300)),IF(S300="Probabilidad",O300,"")),"")</f>
        <v>40%</v>
      </c>
      <c r="AE300" s="612" t="str">
        <f>LOOKUP(2,1/(AD300:AD305&lt;&gt;""),AD300:AD305)</f>
        <v>40%</v>
      </c>
      <c r="AF300" s="605"/>
      <c r="AG300" s="434" t="str">
        <f>IF(AND(AE300&lt;=20%),"Leve",IF(AND(AE300&gt;="21%",AE300&lt;="40%"),"Menor",IF(AND(AE300&gt;=41%,AE300&lt;=60%),"Moderado",IF(AND(AE300&gt;=61%,AE300&lt;=80%),"Mayor",IF(AND(AE300&gt;=81%,AE300&gt;=100%),"Catastrófico",FALSE)))))</f>
        <v>Menor</v>
      </c>
      <c r="AH300" s="434" t="str">
        <f>IF(OR(AND(AC300="Media",AG300="Leve"),AND(AC300="Alta",AG300="Leve"),AND(AC300="Alta",AG300="Menor"),AND(AC300="Media",AG300="Menor"),AND(AC300="Baja",AG300="Menor"),AND(AC300="Media",AG300="Moderado"),AND(AC300="Baja",AG300="Moderado"),AND(AC300="Muy Baja",AG300="Moderado")),"Moderado",IF(OR(AND(AC300="Baja",AG300="Leve"),AND(AC300="Muy Baja",AG300="Leve"),AND(AC300="Muy Baja",AG300="Menor")),"Bajo",IF(OR(AND(AC300="Muy Alta",AG300="Leve"),AND(AC300="Muy Alta",AG300="Menor"),AND(AC300="Muy Alta",AG300="Moderado"),AND(AC300="Alta",AG300="Moderado"),AND(AC300="Muy Alta",AG300="Mayor"),AND(AC300="Alta",AG300="Mayor"),AND(AC300="Media",AG300="Mayor"),AND(AC300="Baja",AG300="Mayor"),AND(AC300="Muy Baja",AG300="Mayor")),"Alto",IF(OR(AND(AC300="Alta",AG300="Catastrófico"),AND(AC300="Muy Alta",AG300="Catastrófico"),AND(AC300="Media",AG300="Catastrófico"),AND(AC300="Baja",AG300="Catastrófico"),AND(AC300="Muy Baja",AG300="Catastrófico")),"Extremo",IF(AG300="Catastrófico","Extremo")))))</f>
        <v>Moderado</v>
      </c>
      <c r="AI300" s="434" t="s">
        <v>77</v>
      </c>
      <c r="AJ300" s="188"/>
      <c r="AK300" s="188"/>
      <c r="AL300" s="98"/>
      <c r="AM300" s="98"/>
      <c r="AN300" s="92"/>
      <c r="AO300" s="188"/>
      <c r="AP300" s="496" t="s">
        <v>596</v>
      </c>
      <c r="AQ300" s="539" t="s">
        <v>113</v>
      </c>
      <c r="AR300" s="183"/>
      <c r="AS300" s="183"/>
      <c r="AT300" s="183"/>
      <c r="AU300" s="183"/>
      <c r="AV300" s="183"/>
      <c r="AW300" s="183"/>
      <c r="FM300" s="89"/>
      <c r="FQ300" s="80"/>
    </row>
    <row r="301" spans="1:173" s="78" customFormat="1" ht="13.5" customHeight="1" x14ac:dyDescent="0.25">
      <c r="A301" s="325"/>
      <c r="B301" s="126" t="s">
        <v>582</v>
      </c>
      <c r="C301" s="325"/>
      <c r="D301" s="325"/>
      <c r="E301" s="325"/>
      <c r="F301" s="524"/>
      <c r="G301" s="325"/>
      <c r="H301" s="325"/>
      <c r="I301" s="435"/>
      <c r="J301" s="493"/>
      <c r="K301" s="435"/>
      <c r="L301" s="435"/>
      <c r="M301" s="435"/>
      <c r="N301" s="435"/>
      <c r="O301" s="606"/>
      <c r="P301" s="435"/>
      <c r="Q301" s="611">
        <v>2</v>
      </c>
      <c r="R301" s="173" t="s">
        <v>597</v>
      </c>
      <c r="S301" s="173" t="s">
        <v>237</v>
      </c>
      <c r="T301" s="173" t="s">
        <v>174</v>
      </c>
      <c r="U301" s="173" t="s">
        <v>153</v>
      </c>
      <c r="V301" s="173" t="str">
        <f>IF(AND(T301=$FS$2,U301=$FT$2),"50%",IF(AND(T301=$FS$2,U301=$FT$3),"40%",IF(AND(T301=$FS$3,U301=$FT$2),"40%",IF(AND(T301=$FS$3,U301=$FT$3),"30%",IF(AND(T301=$FS$4,U301=$FT$2),"35%",IF(AND(T301=$FS$4,U301=$FT$3),"25%",""))))))</f>
        <v>25%</v>
      </c>
      <c r="W301" s="173" t="s">
        <v>161</v>
      </c>
      <c r="X301" s="173" t="s">
        <v>164</v>
      </c>
      <c r="Y301" s="173" t="s">
        <v>156</v>
      </c>
      <c r="Z301" s="144">
        <f>IFERROR(IF(AND(S300="Probabilidad",S301="Probabilidad"),(Z300-(+Z300*V301)),IF(S301="Probabilidad",(L300-(+L300*V301)),IF(S301="Impacto",Z300,""))),"")</f>
        <v>0.27</v>
      </c>
      <c r="AA301" s="607"/>
      <c r="AB301" s="605"/>
      <c r="AC301" s="435"/>
      <c r="AD301" s="605" t="str">
        <f>IFERROR(IF(AND(S300="Impacto",V301="Impacto"),(AD300-(+AD300*V301)),IF(S301="Impacto",(O300-(+O300*V301)),IF(S301="Probabilidad",AD300,""))),"")</f>
        <v>40%</v>
      </c>
      <c r="AE301" s="607"/>
      <c r="AF301" s="605"/>
      <c r="AG301" s="435"/>
      <c r="AH301" s="435"/>
      <c r="AI301" s="435"/>
      <c r="AJ301" s="188"/>
      <c r="AK301" s="188"/>
      <c r="AL301" s="98"/>
      <c r="AM301" s="98"/>
      <c r="AN301" s="188"/>
      <c r="AO301" s="188"/>
      <c r="AP301" s="497"/>
      <c r="AQ301" s="537"/>
      <c r="AR301" s="183"/>
      <c r="AS301" s="183"/>
      <c r="AT301" s="183"/>
      <c r="AU301" s="183"/>
      <c r="AV301" s="183"/>
      <c r="AW301" s="183"/>
      <c r="FM301" s="89"/>
    </row>
    <row r="302" spans="1:173" s="78" customFormat="1" ht="13.5" customHeight="1" x14ac:dyDescent="0.25">
      <c r="A302" s="325"/>
      <c r="B302" s="126" t="s">
        <v>582</v>
      </c>
      <c r="C302" s="325"/>
      <c r="D302" s="325"/>
      <c r="E302" s="325"/>
      <c r="F302" s="524"/>
      <c r="G302" s="325"/>
      <c r="H302" s="325"/>
      <c r="I302" s="435"/>
      <c r="J302" s="493"/>
      <c r="K302" s="435"/>
      <c r="L302" s="435"/>
      <c r="M302" s="435"/>
      <c r="N302" s="435"/>
      <c r="O302" s="606"/>
      <c r="P302" s="435"/>
      <c r="Q302" s="611"/>
      <c r="R302" s="173"/>
      <c r="S302" s="173"/>
      <c r="T302" s="173"/>
      <c r="U302" s="173"/>
      <c r="V302" s="173" t="str">
        <f t="shared" ref="V302:V305" si="133">IF(AND(T302=$FS$2,U302=$FT$2),"50%",IF(AND(T302=$FS$2,U302=$FT$3),"40%",IF(AND(T302=$FS$3,U302=$FT$2),"40%",IF(AND(T302=$FS$3,U302=$FT$3),"30%",IF(AND(T302=$FS$4,U302=$FT$2),"35%",IF(AND(T302=$FS$4,U302=$FT$3),"25%",""))))))</f>
        <v/>
      </c>
      <c r="W302" s="173"/>
      <c r="X302" s="173"/>
      <c r="Y302" s="173"/>
      <c r="Z302" s="144" t="str">
        <f>IFERROR(IF(AND(S301="Probabilidad",S302="Probabilidad"),(Z301-(+Z301*V302)),IF(S302="Probabilidad",(L301-(+L301*V302)),IF(S302="Impacto",Z301,""))),"")</f>
        <v/>
      </c>
      <c r="AA302" s="607"/>
      <c r="AB302" s="605"/>
      <c r="AC302" s="435"/>
      <c r="AD302" s="605" t="str">
        <f t="shared" ref="AD302:AD305" si="134">IFERROR(IF(AND(S301="Impacto",V302="Impacto"),(AD301-(+AD301*V302)),IF(S302="Impacto",(O301-(+O301*V302)),IF(S302="Probabilidad",AD301,""))),"")</f>
        <v/>
      </c>
      <c r="AE302" s="607"/>
      <c r="AF302" s="605"/>
      <c r="AG302" s="435"/>
      <c r="AH302" s="435"/>
      <c r="AI302" s="435"/>
      <c r="AJ302" s="188"/>
      <c r="AK302" s="188"/>
      <c r="AL302" s="98"/>
      <c r="AM302" s="98"/>
      <c r="AN302" s="188"/>
      <c r="AO302" s="188"/>
      <c r="AP302" s="497"/>
      <c r="AQ302" s="537"/>
      <c r="AR302" s="183"/>
      <c r="AS302" s="183"/>
      <c r="AT302" s="183"/>
      <c r="AU302" s="183"/>
      <c r="AV302" s="183"/>
      <c r="AW302" s="183"/>
      <c r="FM302" s="89"/>
    </row>
    <row r="303" spans="1:173" s="78" customFormat="1" ht="13.5" customHeight="1" x14ac:dyDescent="0.25">
      <c r="A303" s="325"/>
      <c r="B303" s="126" t="s">
        <v>582</v>
      </c>
      <c r="C303" s="325"/>
      <c r="D303" s="325"/>
      <c r="E303" s="325"/>
      <c r="F303" s="524"/>
      <c r="G303" s="325"/>
      <c r="H303" s="325"/>
      <c r="I303" s="435"/>
      <c r="J303" s="493"/>
      <c r="K303" s="435"/>
      <c r="L303" s="435"/>
      <c r="M303" s="435"/>
      <c r="N303" s="435"/>
      <c r="O303" s="606"/>
      <c r="P303" s="435"/>
      <c r="Q303" s="611"/>
      <c r="R303" s="173"/>
      <c r="S303" s="173"/>
      <c r="T303" s="173"/>
      <c r="U303" s="173"/>
      <c r="V303" s="173" t="str">
        <f t="shared" si="133"/>
        <v/>
      </c>
      <c r="W303" s="173"/>
      <c r="X303" s="173"/>
      <c r="Y303" s="173"/>
      <c r="Z303" s="144" t="str">
        <f>IFERROR(IF(AND(S302="Probabilidad",S303="Probabilidad"),(Z302-(+Z302*V303)),IF(S303="Probabilidad",(L302-(+L302*V303)),IF(S303="Impacto",Z302,""))),"")</f>
        <v/>
      </c>
      <c r="AA303" s="607"/>
      <c r="AB303" s="605"/>
      <c r="AC303" s="435"/>
      <c r="AD303" s="605" t="str">
        <f t="shared" si="134"/>
        <v/>
      </c>
      <c r="AE303" s="607"/>
      <c r="AF303" s="605"/>
      <c r="AG303" s="435"/>
      <c r="AH303" s="435"/>
      <c r="AI303" s="435"/>
      <c r="AJ303" s="188"/>
      <c r="AK303" s="188"/>
      <c r="AL303" s="98"/>
      <c r="AM303" s="98"/>
      <c r="AN303" s="188"/>
      <c r="AO303" s="188"/>
      <c r="AP303" s="497"/>
      <c r="AQ303" s="537"/>
      <c r="AR303" s="183"/>
      <c r="AS303" s="183"/>
      <c r="AT303" s="183"/>
      <c r="AU303" s="183"/>
      <c r="AV303" s="183"/>
      <c r="AW303" s="183"/>
      <c r="FM303" s="89"/>
    </row>
    <row r="304" spans="1:173" s="78" customFormat="1" ht="13.5" customHeight="1" x14ac:dyDescent="0.25">
      <c r="A304" s="325"/>
      <c r="B304" s="126" t="s">
        <v>582</v>
      </c>
      <c r="C304" s="325"/>
      <c r="D304" s="325"/>
      <c r="E304" s="325"/>
      <c r="F304" s="524"/>
      <c r="G304" s="325"/>
      <c r="H304" s="325"/>
      <c r="I304" s="435"/>
      <c r="J304" s="493"/>
      <c r="K304" s="435"/>
      <c r="L304" s="435"/>
      <c r="M304" s="435"/>
      <c r="N304" s="435"/>
      <c r="O304" s="606"/>
      <c r="P304" s="435"/>
      <c r="Q304" s="611"/>
      <c r="R304" s="173"/>
      <c r="S304" s="173"/>
      <c r="T304" s="173"/>
      <c r="U304" s="173"/>
      <c r="V304" s="173" t="str">
        <f t="shared" si="133"/>
        <v/>
      </c>
      <c r="W304" s="173"/>
      <c r="X304" s="173"/>
      <c r="Y304" s="173"/>
      <c r="Z304" s="144" t="str">
        <f>IFERROR(IF(AND(S303="Probabilidad",S304="Probabilidad"),(Z303-(+Z303*V304)),IF(S304="Probabilidad",(L303-(+L303*V304)),IF(S304="Impacto",Z303,""))),"")</f>
        <v/>
      </c>
      <c r="AA304" s="607"/>
      <c r="AB304" s="605"/>
      <c r="AC304" s="435"/>
      <c r="AD304" s="605" t="str">
        <f t="shared" si="134"/>
        <v/>
      </c>
      <c r="AE304" s="607"/>
      <c r="AF304" s="605"/>
      <c r="AG304" s="435"/>
      <c r="AH304" s="435"/>
      <c r="AI304" s="435"/>
      <c r="AJ304" s="188"/>
      <c r="AK304" s="188"/>
      <c r="AL304" s="98"/>
      <c r="AM304" s="98"/>
      <c r="AN304" s="188"/>
      <c r="AO304" s="188"/>
      <c r="AP304" s="497"/>
      <c r="AQ304" s="537"/>
      <c r="AR304" s="183"/>
      <c r="AS304" s="183"/>
      <c r="AT304" s="183"/>
      <c r="AU304" s="183"/>
      <c r="AV304" s="183"/>
      <c r="AW304" s="183"/>
      <c r="FM304" s="89"/>
    </row>
    <row r="305" spans="1:181" s="78" customFormat="1" ht="13.5" customHeight="1" x14ac:dyDescent="0.25">
      <c r="A305" s="459"/>
      <c r="B305" s="126" t="s">
        <v>582</v>
      </c>
      <c r="C305" s="459"/>
      <c r="D305" s="459"/>
      <c r="E305" s="459"/>
      <c r="F305" s="525"/>
      <c r="G305" s="459"/>
      <c r="H305" s="459"/>
      <c r="I305" s="436"/>
      <c r="J305" s="494"/>
      <c r="K305" s="436"/>
      <c r="L305" s="436"/>
      <c r="M305" s="436"/>
      <c r="N305" s="436"/>
      <c r="O305" s="608"/>
      <c r="P305" s="436"/>
      <c r="Q305" s="611"/>
      <c r="R305" s="173"/>
      <c r="S305" s="173"/>
      <c r="T305" s="173"/>
      <c r="U305" s="173"/>
      <c r="V305" s="173" t="str">
        <f t="shared" si="133"/>
        <v/>
      </c>
      <c r="W305" s="173"/>
      <c r="X305" s="173"/>
      <c r="Y305" s="173"/>
      <c r="Z305" s="144" t="str">
        <f>IFERROR(IF(AND(S304="Probabilidad",S305="Probabilidad"),(Z304-(+Z304*V305)),IF(S305="Probabilidad",(L304-(+L304*V305)),IF(S305="Impacto",Z304,""))),"")</f>
        <v/>
      </c>
      <c r="AA305" s="609"/>
      <c r="AB305" s="605"/>
      <c r="AC305" s="436"/>
      <c r="AD305" s="605" t="str">
        <f t="shared" si="134"/>
        <v/>
      </c>
      <c r="AE305" s="609"/>
      <c r="AF305" s="605"/>
      <c r="AG305" s="436"/>
      <c r="AH305" s="436"/>
      <c r="AI305" s="436"/>
      <c r="AJ305" s="188"/>
      <c r="AK305" s="188"/>
      <c r="AL305" s="98"/>
      <c r="AM305" s="98"/>
      <c r="AN305" s="188"/>
      <c r="AO305" s="188"/>
      <c r="AP305" s="498"/>
      <c r="AQ305" s="538"/>
      <c r="AR305" s="183"/>
      <c r="AS305" s="183"/>
      <c r="AT305" s="183"/>
      <c r="AU305" s="183"/>
      <c r="AV305" s="183"/>
      <c r="AW305" s="183"/>
      <c r="FM305" s="89"/>
      <c r="FQ305" s="79"/>
    </row>
    <row r="306" spans="1:181" s="78" customFormat="1" ht="13.5" customHeight="1" x14ac:dyDescent="0.2">
      <c r="A306" s="444">
        <v>57</v>
      </c>
      <c r="B306" s="126" t="s">
        <v>582</v>
      </c>
      <c r="C306" s="444" t="s">
        <v>233</v>
      </c>
      <c r="D306" s="444" t="s">
        <v>598</v>
      </c>
      <c r="E306" s="444" t="s">
        <v>599</v>
      </c>
      <c r="F306" s="523" t="s">
        <v>600</v>
      </c>
      <c r="G306" s="444" t="s">
        <v>149</v>
      </c>
      <c r="H306" s="444" t="s">
        <v>150</v>
      </c>
      <c r="I306" s="434" t="s">
        <v>83</v>
      </c>
      <c r="J306" s="492">
        <v>44</v>
      </c>
      <c r="K306" s="434" t="str">
        <f>IF(AND(J306&lt;=2),"Muy Baja",IF(AND(J306&gt;=3,J306&lt;=23),"Baja",IF(AND(J306&gt;=24,J306&lt;=499),"Media",IF(AND(J306&gt;=500,J306&lt;=4999),"Alta",IF(AND(J306&gt;=5000),"Muy Alta",FALSE)))))</f>
        <v>Media</v>
      </c>
      <c r="L306" s="434" t="str">
        <f>IF(AND(J306&lt;=2),"20%",IF(AND(J306&gt;=3,J306&lt;=23),"40%",IF(AND(J306&gt;=24,J306&lt;=499),"60%",IF(AND(J306&gt;=500,J306&lt;=4999),"80%",IF(AND(J306&gt;=5000),"100%",FALSE)))))</f>
        <v>60%</v>
      </c>
      <c r="M306" s="434" t="s">
        <v>162</v>
      </c>
      <c r="N306" s="434" t="str">
        <f>IF(AND(M306=$FQ$4),"Leve",IF(AND(M306=$FQ$5),"Menor",IF(AND(M306=$FQ$6),"Moderado",IF(AND(M306=$FQ$7),"mayor",IF(AND(M306=$FQ$8),"Catastrófico",IF(AND(M306=$FQ$10),"Leve",IF(AND(M306=$FQ$11),"Menor",IF(AND(M306=$FQ$12),"Moderado",IF(AND(M306=$FQ$13),"Mayor",IF(AND(M306=$FQ$14),"Catastrófico",FALSE))))))))))</f>
        <v>Moderado</v>
      </c>
      <c r="O306" s="610" t="str">
        <f>IF(AND(N306="Leve"),"20%",IF(AND(N306="Menor"),"40%",IF(AND(N306="Moderado"),"60%",IF(AND(N306="Mayor"),"80%",IF(AND(N306="Catastrófico"),"100%","")))))</f>
        <v>60%</v>
      </c>
      <c r="P306" s="434" t="str">
        <f>IF(AND(L306&lt;="40%",O306="20%"),"Bajo",IF(AND(L306="60%",O306="20%"),"Moderado",IF(AND(L306="80%",O306="20%"),"Moderado",IF(AND(L306="100%",O306="20%"),"Alto",IF(AND(L306="20%",O306="40%"),"Bajo",IF(AND(L306="40%",O306="40%"),"Moderado",IF(AND(L306="60%",O306="40%"),"Moderado",IF(AND(L306="80%",O306="40%"),"Moderado",IF(AND(L306="100%",O306="40%"),"Alto",IF(AND(L306="20%",O306="60%"),"Moderado",IF(AND(L306="40%",O306="60%"),"Moderado",IF(AND(L306="60%",O306="60%"),"Moderado",IF(AND(L306="80%",O306="60%"),"Alto",IF(AND(L306="100%",O306="60%"),"Alto",IF(AND(L306="20%",O306="80%"),"Alto",IF(AND(L306="40%",O306="80%"),"Alto",IF(AND(L306="60%",O306="80%"),"Alto",IF(AND(L306="80%",O306="80%"),"Alto",IF(AND(L306="100%",O306="80%"),"Alto",IF(AND(L306="20%",O306="100%"),"Extremo",IF(AND(L306="40%",O306="100%"),"Extremo",IF(AND(L306="60%",O306="100%"),"Extremo",IF(AND(L306="80%",O306="100%"),"Moderado",IF(AND(L306="100%",O306="100%"),"Extremo",""""))))))))))))))))))))))))</f>
        <v>Moderado</v>
      </c>
      <c r="Q306" s="611">
        <v>1</v>
      </c>
      <c r="R306" s="142" t="s">
        <v>601</v>
      </c>
      <c r="S306" s="173" t="s">
        <v>237</v>
      </c>
      <c r="T306" s="173" t="s">
        <v>152</v>
      </c>
      <c r="U306" s="173" t="s">
        <v>153</v>
      </c>
      <c r="V306" s="173" t="str">
        <f>IF(AND(T306=$FS$2,U306=$FT$2),"50%",IF(AND(T306=$FS$2,U306=$FT$3),"40%",IF(AND(T306=$FS$3,U306=$FT$2),"40%",IF(AND(T306=$FS$3,U306=$FT$3),"30%",IF(AND(T306=$FS$4,U306=$FT$2),"35%",IF(AND(T306=$FS$4,U306=$FT$3),"25%",""))))))</f>
        <v>40%</v>
      </c>
      <c r="W306" s="173" t="s">
        <v>154</v>
      </c>
      <c r="X306" s="173" t="s">
        <v>155</v>
      </c>
      <c r="Y306" s="173" t="s">
        <v>156</v>
      </c>
      <c r="Z306" s="144">
        <f>IFERROR(IF(S306="Probabilidad",(L306-(+L306*V306)),IF(S306="Impacto",L306,"")),"")</f>
        <v>0.36</v>
      </c>
      <c r="AA306" s="612">
        <f>LOOKUP(2,1/(Z306:Z311&lt;&gt;""),Z306:Z311)</f>
        <v>0.36</v>
      </c>
      <c r="AB306" s="605"/>
      <c r="AC306" s="434" t="str">
        <f>IF(AND(AA306&lt;=20%),"Muy Baja",IF(AND(AA306&gt;=21%,AA306&lt;=40%),"Baja",IF(AND(AA306&gt;=41%,AA306&lt;=60%),"Media",IF(AND(AA306&gt;=61%,AA306&lt;=80%),"Alta",IF(AND(AA306&gt;=81%,AA306&gt;=100%),"Muy Alta",FALSE)))))</f>
        <v>Baja</v>
      </c>
      <c r="AD306" s="605" t="str">
        <f>IFERROR(IF(S306="Impacto",(O306-(+O306*V306)),IF(S306="Probabilidad",O306,"")),"")</f>
        <v>60%</v>
      </c>
      <c r="AE306" s="612">
        <f>LOOKUP(2,1/(AD306:AD311&lt;&gt;""),AD306:AD311)</f>
        <v>0.44999999999999996</v>
      </c>
      <c r="AF306" s="605"/>
      <c r="AG306" s="434" t="str">
        <f>IF(AND(AE306&lt;=20%),"Leve",IF(AND(AE306&gt;=21%,AE306&lt;=40%),"Menor",IF(AND(AE306&gt;=41%,AE306&lt;="60%"),"Moderado",IF(AND(AE306&gt;=61%,AE306&lt;=80%),"Mayor",IF(AND(AE306&gt;=81%,AE306&gt;=100%),"Catastrófico",FALSE)))))</f>
        <v>Moderado</v>
      </c>
      <c r="AH306" s="434" t="str">
        <f>IF(OR(AND(AC306="Media",AG306="Leve"),AND(AC306="Alta",AG306="Leve"),AND(AC306="Alta",AG306="Menor"),AND(AC306="Media",AG306="Menor"),AND(AC306="Baja",AG306="Menor"),AND(AC306="Media",AG306="Moderado"),AND(AC306="Baja",AG306="Moderado"),AND(AC306="Muy Baja",AG306="Moderado")),"Moderado",IF(OR(AND(AC306="Baja",AG306="Leve"),AND(AC306="Muy Baja",AG306="Leve"),AND(AC306="Muy Baja",AG306="Menor")),"Bajo",IF(OR(AND(AC306="Muy Alta",AG306="Leve"),AND(AC306="Muy Alta",AG306="Menor"),AND(AC306="Muy Alta",AG306="Moderado"),AND(AC306="Alta",AG306="Moderado"),AND(AC306="Muy Alta",AG306="Mayor"),AND(AC306="Alta",AG306="Mayor"),AND(AC306="Media",AG306="Mayor"),AND(AC306="Baja",AG306="Mayor"),AND(AC306="Muy Baja",AG306="Mayor")),"Alto",IF(OR(AND(AC306="Alta",AG306="Catastrófico"),AND(AC306="Muy Alta",AG306="Catastrófico"),AND(AC306="Media",AG306="Catastrófico"),AND(AC306="Baja",AG306="Catastrófico"),AND(AC306="Muy Baja",AG306="Catastrófico")),"Extremo",IF(AG306="Catastrófico","Extremo")))))</f>
        <v>Moderado</v>
      </c>
      <c r="AI306" s="434" t="s">
        <v>111</v>
      </c>
      <c r="AJ306" s="188"/>
      <c r="AK306" s="188"/>
      <c r="AL306" s="98"/>
      <c r="AM306" s="98"/>
      <c r="AN306" s="92"/>
      <c r="AO306" s="188"/>
      <c r="AP306" s="496" t="s">
        <v>602</v>
      </c>
      <c r="AQ306" s="539" t="s">
        <v>113</v>
      </c>
      <c r="AR306" s="183"/>
      <c r="AS306" s="183"/>
      <c r="AT306" s="183"/>
      <c r="AU306" s="183"/>
      <c r="AV306" s="183"/>
      <c r="AW306" s="183"/>
      <c r="FM306" s="89"/>
      <c r="FQ306" s="80"/>
    </row>
    <row r="307" spans="1:181" s="78" customFormat="1" ht="13.5" customHeight="1" x14ac:dyDescent="0.25">
      <c r="A307" s="325"/>
      <c r="B307" s="126" t="s">
        <v>582</v>
      </c>
      <c r="C307" s="325"/>
      <c r="D307" s="325"/>
      <c r="E307" s="325"/>
      <c r="F307" s="524"/>
      <c r="G307" s="325"/>
      <c r="H307" s="325"/>
      <c r="I307" s="435"/>
      <c r="J307" s="493"/>
      <c r="K307" s="435"/>
      <c r="L307" s="435"/>
      <c r="M307" s="435"/>
      <c r="N307" s="435"/>
      <c r="O307" s="606"/>
      <c r="P307" s="435"/>
      <c r="Q307" s="611">
        <v>2</v>
      </c>
      <c r="R307" s="142" t="s">
        <v>603</v>
      </c>
      <c r="S307" s="173" t="s">
        <v>242</v>
      </c>
      <c r="T307" s="173" t="s">
        <v>174</v>
      </c>
      <c r="U307" s="173" t="s">
        <v>153</v>
      </c>
      <c r="V307" s="173" t="str">
        <f t="shared" ref="V307:V311" si="135">IF(AND(T307=$FS$2,U307=$FT$2),"50%",IF(AND(T307=$FS$2,U307=$FT$3),"40%",IF(AND(T307=$FS$3,U307=$FT$2),"40%",IF(AND(T307=$FS$3,U307=$FT$3),"30%",IF(AND(T307=$FS$4,U307=$FT$2),"35%",IF(AND(T307=$FS$4,U307=$FT$3),"25%",""))))))</f>
        <v>25%</v>
      </c>
      <c r="W307" s="173" t="s">
        <v>154</v>
      </c>
      <c r="X307" s="173" t="s">
        <v>155</v>
      </c>
      <c r="Y307" s="173" t="s">
        <v>156</v>
      </c>
      <c r="Z307" s="144">
        <f>IFERROR(IF(AND(S306="Probabilidad",S307="Probabilidad"),(Z306-(+Z306*V307)),IF(S307="Probabilidad",(L306-(+L306*V307)),IF(S307="Impacto",Z306,""))),"")</f>
        <v>0.36</v>
      </c>
      <c r="AA307" s="607"/>
      <c r="AB307" s="605"/>
      <c r="AC307" s="435"/>
      <c r="AD307" s="605">
        <f>IFERROR(IF(AND(S306="Impacto",V307="Impacto"),(AD306-(+AD306*V307)),IF(S307="Impacto",(O306-(+O306*V307)),IF(S307="Probabilidad",AD306,""))),"")</f>
        <v>0.44999999999999996</v>
      </c>
      <c r="AE307" s="607"/>
      <c r="AF307" s="605"/>
      <c r="AG307" s="435"/>
      <c r="AH307" s="435"/>
      <c r="AI307" s="435"/>
      <c r="AJ307" s="188"/>
      <c r="AK307" s="188"/>
      <c r="AL307" s="98"/>
      <c r="AM307" s="98"/>
      <c r="AN307" s="188"/>
      <c r="AO307" s="188"/>
      <c r="AP307" s="497"/>
      <c r="AQ307" s="537"/>
      <c r="AR307" s="183"/>
      <c r="AS307" s="183"/>
      <c r="AT307" s="183"/>
      <c r="AU307" s="183"/>
      <c r="AV307" s="183"/>
      <c r="AW307" s="183"/>
      <c r="FM307" s="89"/>
    </row>
    <row r="308" spans="1:181" s="78" customFormat="1" ht="13.5" customHeight="1" x14ac:dyDescent="0.25">
      <c r="A308" s="325"/>
      <c r="B308" s="126" t="s">
        <v>582</v>
      </c>
      <c r="C308" s="325"/>
      <c r="D308" s="325"/>
      <c r="E308" s="325"/>
      <c r="F308" s="524"/>
      <c r="G308" s="325"/>
      <c r="H308" s="325"/>
      <c r="I308" s="435"/>
      <c r="J308" s="493"/>
      <c r="K308" s="435"/>
      <c r="L308" s="435"/>
      <c r="M308" s="435"/>
      <c r="N308" s="435"/>
      <c r="O308" s="606"/>
      <c r="P308" s="435"/>
      <c r="Q308" s="611"/>
      <c r="R308" s="141"/>
      <c r="S308" s="173"/>
      <c r="T308" s="173"/>
      <c r="U308" s="173"/>
      <c r="V308" s="173" t="str">
        <f t="shared" si="135"/>
        <v/>
      </c>
      <c r="W308" s="173"/>
      <c r="X308" s="173"/>
      <c r="Y308" s="173"/>
      <c r="Z308" s="144" t="str">
        <f>IFERROR(IF(AND(S307="Probabilidad",S308="Probabilidad"),(Z307-(+Z307*V308)),IF(S308="Probabilidad",(L307-(+L307*V308)),IF(S308="Impacto",Z307,""))),"")</f>
        <v/>
      </c>
      <c r="AA308" s="607"/>
      <c r="AB308" s="605"/>
      <c r="AC308" s="435"/>
      <c r="AD308" s="605" t="str">
        <f t="shared" ref="AD308:AD311" si="136">IFERROR(IF(AND(S307="Impacto",V308="Impacto"),(AD307-(+AD307*V308)),IF(S308="Impacto",(O307-(+O307*V308)),IF(S308="Probabilidad",AD307,""))),"")</f>
        <v/>
      </c>
      <c r="AE308" s="607"/>
      <c r="AF308" s="605"/>
      <c r="AG308" s="435"/>
      <c r="AH308" s="435"/>
      <c r="AI308" s="435"/>
      <c r="AJ308" s="188"/>
      <c r="AK308" s="188"/>
      <c r="AL308" s="98"/>
      <c r="AM308" s="98"/>
      <c r="AN308" s="188"/>
      <c r="AO308" s="188"/>
      <c r="AP308" s="497"/>
      <c r="AQ308" s="537"/>
      <c r="AR308" s="183"/>
      <c r="AS308" s="183"/>
      <c r="AT308" s="183"/>
      <c r="AU308" s="183"/>
      <c r="AV308" s="183"/>
      <c r="AW308" s="183"/>
      <c r="FM308" s="89"/>
    </row>
    <row r="309" spans="1:181" s="78" customFormat="1" ht="13.5" customHeight="1" x14ac:dyDescent="0.25">
      <c r="A309" s="325"/>
      <c r="B309" s="126" t="s">
        <v>582</v>
      </c>
      <c r="C309" s="325"/>
      <c r="D309" s="325"/>
      <c r="E309" s="325"/>
      <c r="F309" s="524"/>
      <c r="G309" s="325"/>
      <c r="H309" s="325"/>
      <c r="I309" s="435"/>
      <c r="J309" s="493"/>
      <c r="K309" s="435"/>
      <c r="L309" s="435"/>
      <c r="M309" s="435"/>
      <c r="N309" s="435"/>
      <c r="O309" s="606"/>
      <c r="P309" s="435"/>
      <c r="Q309" s="611"/>
      <c r="R309" s="141"/>
      <c r="S309" s="173"/>
      <c r="T309" s="173"/>
      <c r="U309" s="173"/>
      <c r="V309" s="173" t="str">
        <f t="shared" si="135"/>
        <v/>
      </c>
      <c r="W309" s="173"/>
      <c r="X309" s="173"/>
      <c r="Y309" s="173"/>
      <c r="Z309" s="144" t="str">
        <f>IFERROR(IF(AND(S308="Probabilidad",S309="Probabilidad"),(Z308-(+Z308*V309)),IF(S309="Probabilidad",(L308-(+L308*V309)),IF(S309="Impacto",Z308,""))),"")</f>
        <v/>
      </c>
      <c r="AA309" s="607"/>
      <c r="AB309" s="605"/>
      <c r="AC309" s="435"/>
      <c r="AD309" s="605" t="str">
        <f t="shared" si="136"/>
        <v/>
      </c>
      <c r="AE309" s="607"/>
      <c r="AF309" s="605"/>
      <c r="AG309" s="435"/>
      <c r="AH309" s="435"/>
      <c r="AI309" s="435"/>
      <c r="AJ309" s="188"/>
      <c r="AK309" s="188"/>
      <c r="AL309" s="98"/>
      <c r="AM309" s="98"/>
      <c r="AN309" s="188"/>
      <c r="AO309" s="188"/>
      <c r="AP309" s="497"/>
      <c r="AQ309" s="537"/>
      <c r="AR309" s="183"/>
      <c r="AS309" s="183"/>
      <c r="AT309" s="183"/>
      <c r="AU309" s="183"/>
      <c r="AV309" s="183"/>
      <c r="AW309" s="183"/>
      <c r="FM309" s="89"/>
    </row>
    <row r="310" spans="1:181" s="78" customFormat="1" ht="13.5" customHeight="1" x14ac:dyDescent="0.25">
      <c r="A310" s="325"/>
      <c r="B310" s="126" t="s">
        <v>582</v>
      </c>
      <c r="C310" s="325"/>
      <c r="D310" s="325"/>
      <c r="E310" s="325"/>
      <c r="F310" s="524"/>
      <c r="G310" s="325"/>
      <c r="H310" s="325"/>
      <c r="I310" s="435"/>
      <c r="J310" s="493"/>
      <c r="K310" s="435"/>
      <c r="L310" s="435"/>
      <c r="M310" s="435"/>
      <c r="N310" s="435"/>
      <c r="O310" s="606"/>
      <c r="P310" s="435"/>
      <c r="Q310" s="611"/>
      <c r="R310" s="141"/>
      <c r="S310" s="173"/>
      <c r="T310" s="173"/>
      <c r="U310" s="173"/>
      <c r="V310" s="173" t="str">
        <f t="shared" si="135"/>
        <v/>
      </c>
      <c r="W310" s="173"/>
      <c r="X310" s="173"/>
      <c r="Y310" s="173"/>
      <c r="Z310" s="144" t="str">
        <f>IFERROR(IF(AND(S309="Probabilidad",S310="Probabilidad"),(Z309-(+Z309*V310)),IF(S310="Probabilidad",(L309-(+L309*V310)),IF(S310="Impacto",Z309,""))),"")</f>
        <v/>
      </c>
      <c r="AA310" s="607"/>
      <c r="AB310" s="605"/>
      <c r="AC310" s="435"/>
      <c r="AD310" s="605" t="str">
        <f t="shared" si="136"/>
        <v/>
      </c>
      <c r="AE310" s="607"/>
      <c r="AF310" s="605"/>
      <c r="AG310" s="435"/>
      <c r="AH310" s="435"/>
      <c r="AI310" s="435"/>
      <c r="AJ310" s="188"/>
      <c r="AK310" s="188"/>
      <c r="AL310" s="98"/>
      <c r="AM310" s="98"/>
      <c r="AN310" s="188"/>
      <c r="AO310" s="188"/>
      <c r="AP310" s="497"/>
      <c r="AQ310" s="537"/>
      <c r="AR310" s="183"/>
      <c r="AS310" s="183"/>
      <c r="AT310" s="183"/>
      <c r="AU310" s="183"/>
      <c r="AV310" s="183"/>
      <c r="AW310" s="183"/>
      <c r="FM310" s="89"/>
    </row>
    <row r="311" spans="1:181" s="78" customFormat="1" ht="13.5" customHeight="1" x14ac:dyDescent="0.25">
      <c r="A311" s="459"/>
      <c r="B311" s="126" t="s">
        <v>582</v>
      </c>
      <c r="C311" s="459"/>
      <c r="D311" s="459"/>
      <c r="E311" s="459"/>
      <c r="F311" s="525"/>
      <c r="G311" s="459"/>
      <c r="H311" s="459"/>
      <c r="I311" s="436"/>
      <c r="J311" s="494"/>
      <c r="K311" s="436"/>
      <c r="L311" s="436"/>
      <c r="M311" s="436"/>
      <c r="N311" s="436"/>
      <c r="O311" s="608"/>
      <c r="P311" s="436"/>
      <c r="Q311" s="611"/>
      <c r="R311" s="141"/>
      <c r="S311" s="173"/>
      <c r="T311" s="173"/>
      <c r="U311" s="173"/>
      <c r="V311" s="173" t="str">
        <f t="shared" si="135"/>
        <v/>
      </c>
      <c r="W311" s="173"/>
      <c r="X311" s="173"/>
      <c r="Y311" s="173"/>
      <c r="Z311" s="144" t="str">
        <f>IFERROR(IF(AND(S310="Probabilidad",S311="Probabilidad"),(Z310-(+Z310*V311)),IF(S311="Probabilidad",(L310-(+L310*V311)),IF(S311="Impacto",Z310,""))),"")</f>
        <v/>
      </c>
      <c r="AA311" s="609"/>
      <c r="AB311" s="605"/>
      <c r="AC311" s="436"/>
      <c r="AD311" s="605" t="str">
        <f t="shared" si="136"/>
        <v/>
      </c>
      <c r="AE311" s="609"/>
      <c r="AF311" s="605"/>
      <c r="AG311" s="436"/>
      <c r="AH311" s="436"/>
      <c r="AI311" s="436"/>
      <c r="AJ311" s="188"/>
      <c r="AK311" s="188"/>
      <c r="AL311" s="98"/>
      <c r="AM311" s="98"/>
      <c r="AN311" s="188"/>
      <c r="AO311" s="188"/>
      <c r="AP311" s="498"/>
      <c r="AQ311" s="538"/>
      <c r="AR311" s="183"/>
      <c r="AS311" s="183"/>
      <c r="AT311" s="183"/>
      <c r="AU311" s="183"/>
      <c r="AV311" s="183"/>
      <c r="AW311" s="183"/>
      <c r="FM311" s="89"/>
      <c r="FQ311" s="79"/>
    </row>
    <row r="312" spans="1:181" s="78" customFormat="1" ht="14.25" customHeight="1" x14ac:dyDescent="0.2">
      <c r="A312" s="444">
        <v>58</v>
      </c>
      <c r="B312" s="126" t="s">
        <v>582</v>
      </c>
      <c r="C312" s="444" t="s">
        <v>233</v>
      </c>
      <c r="D312" s="444" t="s">
        <v>604</v>
      </c>
      <c r="E312" s="444" t="s">
        <v>605</v>
      </c>
      <c r="F312" s="523" t="s">
        <v>606</v>
      </c>
      <c r="G312" s="444" t="s">
        <v>149</v>
      </c>
      <c r="H312" s="444" t="s">
        <v>150</v>
      </c>
      <c r="I312" s="434" t="s">
        <v>83</v>
      </c>
      <c r="J312" s="492">
        <v>40</v>
      </c>
      <c r="K312" s="434" t="str">
        <f>IF(AND(J312&lt;=2),"Muy Baja",IF(AND(J312&gt;=3,J312&lt;=23),"Baja",IF(AND(J312&gt;=24,J312&lt;=499),"Media",IF(AND(J312&gt;=500,J312&lt;=4999),"Alta",IF(AND(J312&gt;=5000),"Muy Alta",FALSE)))))</f>
        <v>Media</v>
      </c>
      <c r="L312" s="434" t="str">
        <f>IF(AND(J312&lt;=2),"20%",IF(AND(J312&gt;=3,J312&lt;=23),"40%",IF(AND(J312&gt;=24,J312&lt;=499),"60%",IF(AND(J312&gt;=500,J312&lt;=4999),"80%",IF(AND(J312&gt;=5000),"100%",FALSE)))))</f>
        <v>60%</v>
      </c>
      <c r="M312" s="434" t="s">
        <v>162</v>
      </c>
      <c r="N312" s="434" t="str">
        <f>IF(AND(M312=$FQ$4),"Leve",IF(AND(M312=$FQ$5),"Menor",IF(AND(M312=$FQ$6),"Moderado",IF(AND(M312=$FQ$7),"mayor",IF(AND(M312=$FQ$8),"Catastrófico",IF(AND(M312=$FQ$10),"Leve",IF(AND(M312=$FQ$11),"Menor",IF(AND(M312=$FQ$12),"Moderado",IF(AND(M312=$FQ$13),"Mayor",IF(AND(M312=$FQ$14),"Catastrófico",FALSE))))))))))</f>
        <v>Moderado</v>
      </c>
      <c r="O312" s="610" t="str">
        <f>IF(AND(N312="Leve"),"20%",IF(AND(N312="Menor"),"40%",IF(AND(N312="Moderado"),"60%",IF(AND(N312="Mayor"),"80%",IF(AND(N312="Catastrófico"),"100%","")))))</f>
        <v>60%</v>
      </c>
      <c r="P312" s="434" t="str">
        <f>IF(AND(L312&lt;="40%",O312="20%"),"Bajo",IF(AND(L312="60%",O312="20%"),"Moderado",IF(AND(L312="80%",O312="20%"),"Moderado",IF(AND(L312="100%",O312="20%"),"Alto",IF(AND(L312="20%",O312="40%"),"Bajo",IF(AND(L312="40%",O312="40%"),"Moderado",IF(AND(L312="60%",O312="40%"),"Moderado",IF(AND(L312="80%",O312="40%"),"Moderado",IF(AND(L312="100%",O312="40%"),"Alto",IF(AND(L312="20%",O312="60%"),"Moderado",IF(AND(L312="40%",O312="60%"),"Moderado",IF(AND(L312="60%",O312="60%"),"Moderado",IF(AND(L312="80%",O312="60%"),"Alto",IF(AND(L312="100%",O312="60%"),"Alto",IF(AND(L312="20%",O312="80%"),"Alto",IF(AND(L312="40%",O312="80%"),"Alto",IF(AND(L312="60%",O312="80%"),"Alto",IF(AND(L312="80%",O312="80%"),"Alto",IF(AND(L312="100%",O312="80%"),"Alto",IF(AND(L312="20%",O312="100%"),"Extremo",IF(AND(L312="40%",O312="100%"),"Extremo",IF(AND(L312="60%",O312="100%"),"Extremo",IF(AND(L312="80%",O312="100%"),"Moderado",IF(AND(L312="100%",O312="100%"),"Extremo",""""))))))))))))))))))))))))</f>
        <v>Moderado</v>
      </c>
      <c r="Q312" s="611">
        <v>1</v>
      </c>
      <c r="R312" s="141" t="s">
        <v>607</v>
      </c>
      <c r="S312" s="173" t="s">
        <v>237</v>
      </c>
      <c r="T312" s="173" t="s">
        <v>152</v>
      </c>
      <c r="U312" s="173" t="s">
        <v>153</v>
      </c>
      <c r="V312" s="173" t="str">
        <f>IF(AND(T312=$FS$2,U312=$FT$2),"50%",IF(AND(T312=$FS$2,U312=$FT$3),"40%",IF(AND(T312=$FS$3,U312=$FT$2),"40%",IF(AND(T312=$FS$3,U312=$FT$3),"30%",IF(AND(T312=$FS$4,U312=$FT$2),"35%",IF(AND(T312=$FS$4,U312=$FT$3),"25%",""))))))</f>
        <v>40%</v>
      </c>
      <c r="W312" s="173" t="s">
        <v>154</v>
      </c>
      <c r="X312" s="173" t="s">
        <v>155</v>
      </c>
      <c r="Y312" s="173" t="s">
        <v>156</v>
      </c>
      <c r="Z312" s="144">
        <f>IFERROR(IF(S312="Probabilidad",(L312-(+L312*V312)),IF(S312="Impacto",L312,"")),"")</f>
        <v>0.36</v>
      </c>
      <c r="AA312" s="612">
        <f>LOOKUP(2,1/(Z312:Z317&lt;&gt;""),Z312:Z317)</f>
        <v>0.216</v>
      </c>
      <c r="AB312" s="605"/>
      <c r="AC312" s="434" t="str">
        <f>IF(AND(AA312&lt;=20%),"Muy Baja",IF(AND(AA312&gt;=21%,AA312&lt;=40%),"Baja",IF(AND(AA312&gt;=41%,AA312&lt;=60%),"Media",IF(AND(AA312&gt;=61%,AA312&lt;=80%),"Alta",IF(AND(AA312&gt;=81%,AA312&gt;=100%),"Muy Alta",FALSE)))))</f>
        <v>Baja</v>
      </c>
      <c r="AD312" s="605" t="str">
        <f>IFERROR(IF(S312="Impacto",(O312-(+O312*V312)),IF(S312="Probabilidad",O312,"")),"")</f>
        <v>60%</v>
      </c>
      <c r="AE312" s="612" t="str">
        <f>LOOKUP(2,1/(AD312:AD317&lt;&gt;""),AD312:AD317)</f>
        <v>60%</v>
      </c>
      <c r="AF312" s="605"/>
      <c r="AG312" s="434" t="str">
        <f>IF(AND(AE312&lt;=20%),"Leve",IF(AND(AE312&gt;=21%,AE312&lt;=40%),"Menor",IF(AND(AE312&gt;="41%",AE312&lt;="60%"),"Moderado",IF(AND(AE312&gt;=61%,AE312&lt;=80%),"Mayor",IF(AND(AE312&gt;=81%,AE312&gt;=100%),"Catastrófico",FALSE)))))</f>
        <v>Moderado</v>
      </c>
      <c r="AH312" s="434" t="str">
        <f>IF(OR(AND(AC312="Media",AG312="Leve"),AND(AC312="Alta",AG312="Leve"),AND(AC312="Alta",AG312="Menor"),AND(AC312="Media",AG312="Menor"),AND(AC312="Baja",AG312="Menor"),AND(AC312="Media",AG312="Moderado"),AND(AC312="Baja",AG312="Moderado"),AND(AC312="Muy Baja",AG312="Moderado")),"Moderado",IF(OR(AND(AC312="Baja",AG312="Leve"),AND(AC312="Muy Baja",AG312="Leve"),AND(AC312="Muy Baja",AG312="Menor")),"Bajo",IF(OR(AND(AC312="Muy Alta",AG312="Leve"),AND(AC312="Muy Alta",AG312="Menor"),AND(AC312="Muy Alta",AG312="Moderado"),AND(AC312="Alta",AG312="Moderado"),AND(AC312="Muy Alta",AG312="Mayor"),AND(AC312="Alta",AG312="Mayor"),AND(AC312="Media",AG312="Mayor"),AND(AC312="Baja",AG312="Mayor"),AND(AC312="Muy Baja",AG312="Mayor")),"Alto",IF(OR(AND(AC312="Alta",AG312="Catastrófico"),AND(AC312="Muy Alta",AG312="Catastrófico"),AND(AC312="Media",AG312="Catastrófico"),AND(AC312="Baja",AG312="Catastrófico"),AND(AC312="Muy Baja",AG312="Catastrófico")),"Extremo",IF(AG312="Catastrófico","Extremo")))))</f>
        <v>Moderado</v>
      </c>
      <c r="AI312" s="434" t="s">
        <v>77</v>
      </c>
      <c r="AJ312" s="188"/>
      <c r="AK312" s="188"/>
      <c r="AL312" s="98"/>
      <c r="AM312" s="98"/>
      <c r="AN312" s="92"/>
      <c r="AO312" s="188"/>
      <c r="AP312" s="496" t="s">
        <v>608</v>
      </c>
      <c r="AQ312" s="539" t="s">
        <v>113</v>
      </c>
      <c r="AR312" s="183"/>
      <c r="AS312" s="183"/>
      <c r="AT312" s="183"/>
      <c r="AU312" s="183"/>
      <c r="AV312" s="183"/>
      <c r="AW312" s="183"/>
      <c r="FM312" s="89"/>
      <c r="FQ312" s="80"/>
    </row>
    <row r="313" spans="1:181" s="78" customFormat="1" ht="14.25" customHeight="1" x14ac:dyDescent="0.25">
      <c r="A313" s="325"/>
      <c r="B313" s="126" t="s">
        <v>582</v>
      </c>
      <c r="C313" s="325"/>
      <c r="D313" s="325"/>
      <c r="E313" s="325"/>
      <c r="F313" s="524"/>
      <c r="G313" s="325"/>
      <c r="H313" s="325"/>
      <c r="I313" s="435"/>
      <c r="J313" s="493"/>
      <c r="K313" s="435"/>
      <c r="L313" s="435"/>
      <c r="M313" s="435"/>
      <c r="N313" s="435"/>
      <c r="O313" s="606"/>
      <c r="P313" s="435"/>
      <c r="Q313" s="611">
        <v>2</v>
      </c>
      <c r="R313" s="141" t="s">
        <v>609</v>
      </c>
      <c r="S313" s="173" t="s">
        <v>237</v>
      </c>
      <c r="T313" s="173" t="s">
        <v>152</v>
      </c>
      <c r="U313" s="173" t="s">
        <v>153</v>
      </c>
      <c r="V313" s="173" t="str">
        <f t="shared" ref="V313:V317" si="137">IF(AND(T313=$FS$2,U313=$FT$2),"50%",IF(AND(T313=$FS$2,U313=$FT$3),"40%",IF(AND(T313=$FS$3,U313=$FT$2),"40%",IF(AND(T313=$FS$3,U313=$FT$3),"30%",IF(AND(T313=$FS$4,U313=$FT$2),"35%",IF(AND(T313=$FS$4,U313=$FT$3),"25%",""))))))</f>
        <v>40%</v>
      </c>
      <c r="W313" s="173" t="s">
        <v>154</v>
      </c>
      <c r="X313" s="173" t="s">
        <v>155</v>
      </c>
      <c r="Y313" s="173" t="s">
        <v>156</v>
      </c>
      <c r="Z313" s="144">
        <f>IFERROR(IF(AND(S312="Probabilidad",S313="Probabilidad"),(Z312-(+Z312*V313)),IF(S313="Probabilidad",(L312-(+L312*V313)),IF(S313="Impacto",Z312,""))),"")</f>
        <v>0.216</v>
      </c>
      <c r="AA313" s="607"/>
      <c r="AB313" s="605"/>
      <c r="AC313" s="435"/>
      <c r="AD313" s="605" t="str">
        <f>IFERROR(IF(AND(S312="Impacto",V313="Impacto"),(AD312-(+AD312*V313)),IF(S313="Impacto",(O312-(+O312*V313)),IF(S313="Probabilidad",AD312,""))),"")</f>
        <v>60%</v>
      </c>
      <c r="AE313" s="607"/>
      <c r="AF313" s="605"/>
      <c r="AG313" s="435"/>
      <c r="AH313" s="435"/>
      <c r="AI313" s="435"/>
      <c r="AJ313" s="188"/>
      <c r="AK313" s="188"/>
      <c r="AL313" s="98"/>
      <c r="AM313" s="98"/>
      <c r="AN313" s="188"/>
      <c r="AO313" s="188"/>
      <c r="AP313" s="497"/>
      <c r="AQ313" s="537"/>
      <c r="AR313" s="183"/>
      <c r="AS313" s="183"/>
      <c r="AT313" s="183"/>
      <c r="AU313" s="183"/>
      <c r="AV313" s="183"/>
      <c r="AW313" s="183"/>
      <c r="FM313" s="89"/>
    </row>
    <row r="314" spans="1:181" s="78" customFormat="1" ht="14.25" customHeight="1" x14ac:dyDescent="0.25">
      <c r="A314" s="325"/>
      <c r="B314" s="126" t="s">
        <v>582</v>
      </c>
      <c r="C314" s="325"/>
      <c r="D314" s="325"/>
      <c r="E314" s="325"/>
      <c r="F314" s="524"/>
      <c r="G314" s="325"/>
      <c r="H314" s="325"/>
      <c r="I314" s="435"/>
      <c r="J314" s="493"/>
      <c r="K314" s="435"/>
      <c r="L314" s="435"/>
      <c r="M314" s="435"/>
      <c r="N314" s="435"/>
      <c r="O314" s="606"/>
      <c r="P314" s="435"/>
      <c r="Q314" s="611"/>
      <c r="R314" s="173"/>
      <c r="S314" s="173"/>
      <c r="T314" s="173"/>
      <c r="U314" s="173"/>
      <c r="V314" s="173" t="str">
        <f t="shared" si="137"/>
        <v/>
      </c>
      <c r="W314" s="173"/>
      <c r="X314" s="173"/>
      <c r="Y314" s="173"/>
      <c r="Z314" s="144" t="str">
        <f>IFERROR(IF(AND(S313="Probabilidad",S314="Probabilidad"),(Z313-(+Z313*V314)),IF(S314="Probabilidad",(L313-(+L313*V314)),IF(S314="Impacto",Z313,""))),"")</f>
        <v/>
      </c>
      <c r="AA314" s="607"/>
      <c r="AB314" s="605"/>
      <c r="AC314" s="435"/>
      <c r="AD314" s="605" t="str">
        <f t="shared" ref="AD314:AD317" si="138">IFERROR(IF(AND(S313="Impacto",V314="Impacto"),(AD313-(+AD313*V314)),IF(S314="Impacto",(O313-(+O313*V314)),IF(S314="Probabilidad",AD313,""))),"")</f>
        <v/>
      </c>
      <c r="AE314" s="607"/>
      <c r="AF314" s="605"/>
      <c r="AG314" s="435"/>
      <c r="AH314" s="435"/>
      <c r="AI314" s="435"/>
      <c r="AJ314" s="188"/>
      <c r="AK314" s="188"/>
      <c r="AL314" s="98"/>
      <c r="AM314" s="98"/>
      <c r="AN314" s="188"/>
      <c r="AO314" s="188"/>
      <c r="AP314" s="497"/>
      <c r="AQ314" s="537"/>
      <c r="AR314" s="183"/>
      <c r="AS314" s="183"/>
      <c r="AT314" s="183"/>
      <c r="AU314" s="183"/>
      <c r="AV314" s="183"/>
      <c r="AW314" s="183"/>
      <c r="FM314" s="89"/>
    </row>
    <row r="315" spans="1:181" s="78" customFormat="1" ht="14.25" customHeight="1" x14ac:dyDescent="0.25">
      <c r="A315" s="325"/>
      <c r="B315" s="126" t="s">
        <v>582</v>
      </c>
      <c r="C315" s="325"/>
      <c r="D315" s="325"/>
      <c r="E315" s="325"/>
      <c r="F315" s="524"/>
      <c r="G315" s="325"/>
      <c r="H315" s="325"/>
      <c r="I315" s="435"/>
      <c r="J315" s="493"/>
      <c r="K315" s="435"/>
      <c r="L315" s="435"/>
      <c r="M315" s="435"/>
      <c r="N315" s="435"/>
      <c r="O315" s="606"/>
      <c r="P315" s="435"/>
      <c r="Q315" s="611"/>
      <c r="R315" s="173"/>
      <c r="S315" s="173"/>
      <c r="T315" s="173"/>
      <c r="U315" s="173"/>
      <c r="V315" s="173" t="str">
        <f t="shared" si="137"/>
        <v/>
      </c>
      <c r="W315" s="173"/>
      <c r="X315" s="173"/>
      <c r="Y315" s="173"/>
      <c r="Z315" s="144" t="str">
        <f>IFERROR(IF(AND(S314="Probabilidad",S315="Probabilidad"),(Z314-(+Z314*V315)),IF(S315="Probabilidad",(L314-(+L314*V315)),IF(S315="Impacto",Z314,""))),"")</f>
        <v/>
      </c>
      <c r="AA315" s="607"/>
      <c r="AB315" s="605"/>
      <c r="AC315" s="435"/>
      <c r="AD315" s="605" t="str">
        <f t="shared" si="138"/>
        <v/>
      </c>
      <c r="AE315" s="607"/>
      <c r="AF315" s="605"/>
      <c r="AG315" s="435"/>
      <c r="AH315" s="435"/>
      <c r="AI315" s="435"/>
      <c r="AJ315" s="188"/>
      <c r="AK315" s="188"/>
      <c r="AL315" s="98"/>
      <c r="AM315" s="98"/>
      <c r="AN315" s="188"/>
      <c r="AO315" s="188"/>
      <c r="AP315" s="497"/>
      <c r="AQ315" s="537"/>
      <c r="AR315" s="183"/>
      <c r="AS315" s="183"/>
      <c r="AT315" s="183"/>
      <c r="AU315" s="183"/>
      <c r="AV315" s="183"/>
      <c r="AW315" s="183"/>
      <c r="FM315" s="89"/>
    </row>
    <row r="316" spans="1:181" s="78" customFormat="1" ht="14.25" customHeight="1" x14ac:dyDescent="0.25">
      <c r="A316" s="325"/>
      <c r="B316" s="126" t="s">
        <v>582</v>
      </c>
      <c r="C316" s="325"/>
      <c r="D316" s="325"/>
      <c r="E316" s="325"/>
      <c r="F316" s="524"/>
      <c r="G316" s="325"/>
      <c r="H316" s="325"/>
      <c r="I316" s="435"/>
      <c r="J316" s="493"/>
      <c r="K316" s="435"/>
      <c r="L316" s="435"/>
      <c r="M316" s="435"/>
      <c r="N316" s="435"/>
      <c r="O316" s="606"/>
      <c r="P316" s="435"/>
      <c r="Q316" s="611"/>
      <c r="R316" s="173"/>
      <c r="S316" s="173"/>
      <c r="T316" s="173"/>
      <c r="U316" s="173"/>
      <c r="V316" s="173" t="str">
        <f t="shared" si="137"/>
        <v/>
      </c>
      <c r="W316" s="173"/>
      <c r="X316" s="173"/>
      <c r="Y316" s="173"/>
      <c r="Z316" s="144" t="str">
        <f>IFERROR(IF(AND(S315="Probabilidad",S316="Probabilidad"),(Z315-(+Z315*V316)),IF(S316="Probabilidad",(L315-(+L315*V316)),IF(S316="Impacto",Z315,""))),"")</f>
        <v/>
      </c>
      <c r="AA316" s="607"/>
      <c r="AB316" s="605"/>
      <c r="AC316" s="435"/>
      <c r="AD316" s="605" t="str">
        <f t="shared" si="138"/>
        <v/>
      </c>
      <c r="AE316" s="607"/>
      <c r="AF316" s="605"/>
      <c r="AG316" s="435"/>
      <c r="AH316" s="435"/>
      <c r="AI316" s="435"/>
      <c r="AJ316" s="188"/>
      <c r="AK316" s="188"/>
      <c r="AL316" s="98"/>
      <c r="AM316" s="98"/>
      <c r="AN316" s="188"/>
      <c r="AO316" s="188"/>
      <c r="AP316" s="497"/>
      <c r="AQ316" s="537"/>
      <c r="AR316" s="183"/>
      <c r="AS316" s="183"/>
      <c r="AT316" s="183"/>
      <c r="AU316" s="183"/>
      <c r="AV316" s="183"/>
      <c r="AW316" s="183"/>
      <c r="FM316" s="89"/>
    </row>
    <row r="317" spans="1:181" s="78" customFormat="1" ht="14.25" customHeight="1" x14ac:dyDescent="0.2">
      <c r="A317" s="459"/>
      <c r="B317" s="126" t="s">
        <v>582</v>
      </c>
      <c r="C317" s="459"/>
      <c r="D317" s="459"/>
      <c r="E317" s="459"/>
      <c r="F317" s="525"/>
      <c r="G317" s="459"/>
      <c r="H317" s="459"/>
      <c r="I317" s="436"/>
      <c r="J317" s="494"/>
      <c r="K317" s="436"/>
      <c r="L317" s="436"/>
      <c r="M317" s="436"/>
      <c r="N317" s="436"/>
      <c r="O317" s="608"/>
      <c r="P317" s="436"/>
      <c r="Q317" s="611"/>
      <c r="R317" s="173"/>
      <c r="S317" s="173"/>
      <c r="T317" s="173"/>
      <c r="U317" s="173"/>
      <c r="V317" s="173" t="str">
        <f t="shared" si="137"/>
        <v/>
      </c>
      <c r="W317" s="173"/>
      <c r="X317" s="173"/>
      <c r="Y317" s="173"/>
      <c r="Z317" s="144" t="str">
        <f>IFERROR(IF(AND(S316="Probabilidad",S317="Probabilidad"),(Z316-(+Z316*V317)),IF(S317="Probabilidad",(L316-(+L316*V317)),IF(S317="Impacto",Z316,""))),"")</f>
        <v/>
      </c>
      <c r="AA317" s="609"/>
      <c r="AB317" s="605"/>
      <c r="AC317" s="436"/>
      <c r="AD317" s="605" t="str">
        <f t="shared" si="138"/>
        <v/>
      </c>
      <c r="AE317" s="609"/>
      <c r="AF317" s="605"/>
      <c r="AG317" s="436"/>
      <c r="AH317" s="436"/>
      <c r="AI317" s="436"/>
      <c r="AJ317" s="188"/>
      <c r="AK317" s="188"/>
      <c r="AL317" s="98"/>
      <c r="AM317" s="98"/>
      <c r="AN317" s="188"/>
      <c r="AO317" s="188"/>
      <c r="AP317" s="498"/>
      <c r="AQ317" s="538"/>
      <c r="AR317" s="183"/>
      <c r="AS317" s="183"/>
      <c r="AT317" s="183"/>
      <c r="AU317" s="183"/>
      <c r="AV317" s="183"/>
      <c r="AW317" s="183"/>
      <c r="FM317" s="90"/>
      <c r="FN317" s="87"/>
      <c r="FO317" s="87"/>
      <c r="FQ317" s="87"/>
      <c r="FR317" s="87"/>
      <c r="FS317" s="87"/>
      <c r="FT317" s="87"/>
      <c r="FU317" s="87"/>
      <c r="FV317" s="87"/>
      <c r="FW317" s="87"/>
      <c r="FX317" s="87"/>
      <c r="FY317" s="87"/>
    </row>
    <row r="318" spans="1:181" s="78" customFormat="1" ht="14.25" customHeight="1" x14ac:dyDescent="0.2">
      <c r="A318" s="444">
        <v>59</v>
      </c>
      <c r="B318" s="126" t="s">
        <v>582</v>
      </c>
      <c r="C318" s="444" t="s">
        <v>233</v>
      </c>
      <c r="D318" s="444" t="s">
        <v>610</v>
      </c>
      <c r="E318" s="444" t="s">
        <v>611</v>
      </c>
      <c r="F318" s="523" t="s">
        <v>612</v>
      </c>
      <c r="G318" s="444" t="s">
        <v>149</v>
      </c>
      <c r="H318" s="444" t="s">
        <v>267</v>
      </c>
      <c r="I318" s="434" t="s">
        <v>83</v>
      </c>
      <c r="J318" s="492">
        <v>24</v>
      </c>
      <c r="K318" s="434" t="str">
        <f>IF(AND(J318&lt;=2),"Muy Baja",IF(AND(J318&gt;=3,J318&lt;=23),"Baja",IF(AND(J318&gt;=24,J318&lt;=499),"Media",IF(AND(J318&gt;=500,J318&lt;=4999),"Alta",IF(AND(J318&gt;=5000),"Muy Alta",FALSE)))))</f>
        <v>Media</v>
      </c>
      <c r="L318" s="434" t="str">
        <f>IF(AND(J318&lt;=2),"20%",IF(AND(J318&gt;=3,J318&lt;=23),"40%",IF(AND(J318&gt;=24,J318&lt;=499),"60%",IF(AND(J318&gt;=500,J318&lt;=4999),"80%",IF(AND(J318&gt;=5000),"100%",FALSE)))))</f>
        <v>60%</v>
      </c>
      <c r="M318" s="434" t="s">
        <v>186</v>
      </c>
      <c r="N318" s="434" t="str">
        <f>IF(AND(M318=$FQ$4),"Leve",IF(AND(M318=$FQ$5),"Menor",IF(AND(M318=$FQ$6),"Moderado",IF(AND(M318=$FQ$7),"mayor",IF(AND(M318=$FQ$8),"Catastrófico",IF(AND(M318=$FQ$10),"Leve",IF(AND(M318=$FQ$11),"Menor",IF(AND(M318=$FQ$12),"Moderado",IF(AND(M318=$FQ$13),"Mayor",IF(AND(M318=$FQ$14),"Catastrófico",FALSE))))))))))</f>
        <v>Moderado</v>
      </c>
      <c r="O318" s="610" t="str">
        <f>IF(AND(N318="Leve"),"20%",IF(AND(N318="Menor"),"40%",IF(AND(N318="Moderado"),"60%",IF(AND(N318="Mayor"),"80%",IF(AND(N318="Catastrófico"),"100%","")))))</f>
        <v>60%</v>
      </c>
      <c r="P318" s="434" t="str">
        <f>IF(AND(L318&lt;="40%",O318="20%"),"Bajo",IF(AND(L318="60%",O318="20%"),"Moderado",IF(AND(L318="80%",O318="20%"),"Moderado",IF(AND(L318="100%",O318="20%"),"Alto",IF(AND(L318="20%",O318="40%"),"Bajo",IF(AND(L318="40%",O318="40%"),"Moderado",IF(AND(L318="60%",O318="40%"),"Moderado",IF(AND(L318="80%",O318="40%"),"Moderado",IF(AND(L318="100%",O318="40%"),"Alto",IF(AND(L318="20%",O318="60%"),"Moderado",IF(AND(L318="40%",O318="60%"),"Moderado",IF(AND(L318="60%",O318="60%"),"Moderado",IF(AND(L318="80%",O318="60%"),"Alto",IF(AND(L318="100%",O318="60%"),"Alto",IF(AND(L318="20%",O318="80%"),"Alto",IF(AND(L318="40%",O318="80%"),"Alto",IF(AND(L318="60%",O318="80%"),"Alto",IF(AND(L318="80%",O318="80%"),"Alto",IF(AND(L318="100%",O318="80%"),"Alto",IF(AND(L318="20%",O318="100%"),"Extremo",IF(AND(L318="40%",O318="100%"),"Extremo",IF(AND(L318="60%",O318="100%"),"Extremo",IF(AND(L318="80%",O318="100%"),"Moderado",IF(AND(L318="100%",O318="100%"),"Extremo",""""))))))))))))))))))))))))</f>
        <v>Moderado</v>
      </c>
      <c r="Q318" s="611">
        <v>1</v>
      </c>
      <c r="R318" s="141" t="s">
        <v>845</v>
      </c>
      <c r="S318" s="173" t="s">
        <v>237</v>
      </c>
      <c r="T318" s="173" t="s">
        <v>152</v>
      </c>
      <c r="U318" s="173" t="s">
        <v>153</v>
      </c>
      <c r="V318" s="173" t="str">
        <f>IF(AND(T318=$FS$2,U318=$FT$2),"50%",IF(AND(T318=$FS$2,U318=$FT$3),"40%",IF(AND(T318=$FS$3,U318=$FT$2),"40%",IF(AND(T318=$FS$3,U318=$FT$3),"30%",IF(AND(T318=$FS$4,U318=$FT$2),"35%",IF(AND(T318=$FS$4,U318=$FT$3),"25%",""))))))</f>
        <v>40%</v>
      </c>
      <c r="W318" s="173" t="s">
        <v>154</v>
      </c>
      <c r="X318" s="173" t="s">
        <v>155</v>
      </c>
      <c r="Y318" s="173" t="s">
        <v>156</v>
      </c>
      <c r="Z318" s="144">
        <f>IFERROR(IF(S318="Probabilidad",(L318-(+L318*V318)),IF(S318="Impacto",L318,"")),"")</f>
        <v>0.36</v>
      </c>
      <c r="AA318" s="612">
        <f>LOOKUP(2,1/(Z318:Z323&lt;&gt;""),Z318:Z323)</f>
        <v>0.36</v>
      </c>
      <c r="AB318" s="605"/>
      <c r="AC318" s="434" t="str">
        <f>IF(AND(AA318&lt;=20%),"Muy Baja",IF(AND(AA318&gt;=21%,AA318&lt;=40%),"Baja",IF(AND(AA318&gt;=41%,AA318&lt;=60%),"Media",IF(AND(AA318&gt;=61%,AA318&lt;=80%),"Alta",IF(AND(AA318&gt;=81%,AA318&gt;=100%),"Muy Alta",FALSE)))))</f>
        <v>Baja</v>
      </c>
      <c r="AD318" s="605" t="str">
        <f>IFERROR(IF(S318="Impacto",(O318-(+O318*V318)),IF(S318="Probabilidad",O318,"")),"")</f>
        <v>60%</v>
      </c>
      <c r="AE318" s="612" t="str">
        <f>LOOKUP(2,1/(AD318:AD323&lt;&gt;""),AD318:AD323)</f>
        <v>60%</v>
      </c>
      <c r="AF318" s="605"/>
      <c r="AG318" s="434" t="str">
        <f>IF(AND(AE318&lt;=20%),"Leve",IF(AND(AE318&gt;=21%,AE318&lt;=40%),"Menor",IF(AND(AE318&gt;="41%",AE318&lt;="60%"),"Moderado",IF(AND(AE318&gt;=61%,AE318&lt;=80%),"Mayor",IF(AND(AE318&gt;=81%,AE318&gt;=100%),"Catastrófico",FALSE)))))</f>
        <v>Moderado</v>
      </c>
      <c r="AH318" s="434" t="str">
        <f>IF(OR(AND(AC318="Media",AG318="Leve"),AND(AC318="Alta",AG318="Leve"),AND(AC318="Alta",AG318="Menor"),AND(AC318="Media",AG318="Menor"),AND(AC318="Baja",AG318="Menor"),AND(AC318="Media",AG318="Moderado"),AND(AC318="Baja",AG318="Moderado"),AND(AC318="Muy Baja",AG318="Moderado")),"Moderado",IF(OR(AND(AC318="Baja",AG318="Leve"),AND(AC318="Muy Baja",AG318="Leve"),AND(AC318="Muy Baja",AG318="Menor")),"Bajo",IF(OR(AND(AC318="Muy Alta",AG318="Leve"),AND(AC318="Muy Alta",AG318="Menor"),AND(AC318="Muy Alta",AG318="Moderado"),AND(AC318="Alta",AG318="Moderado"),AND(AC318="Muy Alta",AG318="Mayor"),AND(AC318="Alta",AG318="Mayor"),AND(AC318="Media",AG318="Mayor"),AND(AC318="Baja",AG318="Mayor"),AND(AC318="Muy Baja",AG318="Mayor")),"Alto",IF(OR(AND(AC318="Alta",AG318="Catastrófico"),AND(AC318="Muy Alta",AG318="Catastrófico"),AND(AC318="Media",AG318="Catastrófico"),AND(AC318="Baja",AG318="Catastrófico"),AND(AC318="Muy Baja",AG318="Catastrófico")),"Extremo",IF(AG318="Catastrófico","Extremo")))))</f>
        <v>Moderado</v>
      </c>
      <c r="AI318" s="434" t="s">
        <v>77</v>
      </c>
      <c r="AJ318" s="188"/>
      <c r="AK318" s="188"/>
      <c r="AL318" s="98"/>
      <c r="AM318" s="98"/>
      <c r="AN318" s="92"/>
      <c r="AO318" s="188"/>
      <c r="AP318" s="496" t="s">
        <v>614</v>
      </c>
      <c r="AQ318" s="539" t="s">
        <v>113</v>
      </c>
      <c r="AR318" s="183"/>
      <c r="AS318" s="183"/>
      <c r="AT318" s="183"/>
      <c r="AU318" s="183"/>
      <c r="AV318" s="183"/>
      <c r="AW318" s="183"/>
      <c r="FM318" s="89"/>
      <c r="FQ318" s="80"/>
    </row>
    <row r="319" spans="1:181" s="78" customFormat="1" ht="14.25" customHeight="1" x14ac:dyDescent="0.2">
      <c r="A319" s="325"/>
      <c r="B319" s="126" t="s">
        <v>582</v>
      </c>
      <c r="C319" s="325"/>
      <c r="D319" s="325"/>
      <c r="E319" s="325"/>
      <c r="F319" s="524"/>
      <c r="G319" s="325"/>
      <c r="H319" s="325"/>
      <c r="I319" s="435"/>
      <c r="J319" s="493"/>
      <c r="K319" s="435"/>
      <c r="L319" s="435"/>
      <c r="M319" s="435"/>
      <c r="N319" s="435"/>
      <c r="O319" s="606"/>
      <c r="P319" s="435"/>
      <c r="Q319" s="611"/>
      <c r="R319" s="141"/>
      <c r="S319" s="173"/>
      <c r="T319" s="173"/>
      <c r="U319" s="173"/>
      <c r="V319" s="173"/>
      <c r="W319" s="173"/>
      <c r="X319" s="173"/>
      <c r="Y319" s="173"/>
      <c r="Z319" s="144" t="str">
        <f>IFERROR(IF(AND(S318="Probabilidad",S319="Probabilidad"),(Z318-(+Z318*V319)),IF(S319="Probabilidad",(L318-(+L318*V319)),IF(S319="Impacto",Z318,""))),"")</f>
        <v/>
      </c>
      <c r="AA319" s="607"/>
      <c r="AB319" s="605"/>
      <c r="AC319" s="435"/>
      <c r="AD319" s="605" t="str">
        <f>IFERROR(IF(AND(S318="Impacto",V319="Impacto"),(AD318-(+AD318*V319)),IF(S319="Impacto",(O318-(+O318*V319)),IF(S319="Probabilidad",AD318,""))),"")</f>
        <v/>
      </c>
      <c r="AE319" s="607"/>
      <c r="AF319" s="605"/>
      <c r="AG319" s="435"/>
      <c r="AH319" s="435"/>
      <c r="AI319" s="435"/>
      <c r="AJ319" s="188"/>
      <c r="AK319" s="188"/>
      <c r="AL319" s="98"/>
      <c r="AM319" s="98"/>
      <c r="AN319" s="188"/>
      <c r="AO319" s="188"/>
      <c r="AP319" s="497"/>
      <c r="AQ319" s="537"/>
      <c r="AR319" s="183"/>
      <c r="AS319" s="183"/>
      <c r="AT319" s="183"/>
      <c r="AU319" s="183"/>
      <c r="AV319" s="183"/>
      <c r="AW319" s="183"/>
      <c r="FM319" s="89"/>
      <c r="FP319" s="87"/>
    </row>
    <row r="320" spans="1:181" s="78" customFormat="1" ht="14.25" customHeight="1" x14ac:dyDescent="0.25">
      <c r="A320" s="325"/>
      <c r="B320" s="126" t="s">
        <v>582</v>
      </c>
      <c r="C320" s="325"/>
      <c r="D320" s="325"/>
      <c r="E320" s="325"/>
      <c r="F320" s="524"/>
      <c r="G320" s="325"/>
      <c r="H320" s="325"/>
      <c r="I320" s="435"/>
      <c r="J320" s="493"/>
      <c r="K320" s="435"/>
      <c r="L320" s="435"/>
      <c r="M320" s="435"/>
      <c r="N320" s="435"/>
      <c r="O320" s="606"/>
      <c r="P320" s="435"/>
      <c r="Q320" s="611"/>
      <c r="R320" s="141"/>
      <c r="S320" s="173"/>
      <c r="T320" s="173"/>
      <c r="U320" s="173"/>
      <c r="V320" s="173"/>
      <c r="W320" s="173"/>
      <c r="X320" s="173"/>
      <c r="Y320" s="173"/>
      <c r="Z320" s="144" t="str">
        <f>IFERROR(IF(AND(S319="Probabilidad",S320="Probabilidad"),(Z319-(+Z319*V320)),IF(S320="Probabilidad",(L319-(+L319*V320)),IF(S320="Impacto",Z319,""))),"")</f>
        <v/>
      </c>
      <c r="AA320" s="607"/>
      <c r="AB320" s="605"/>
      <c r="AC320" s="435"/>
      <c r="AD320" s="605" t="str">
        <f t="shared" ref="AD320:AD323" si="139">IFERROR(IF(AND(S319="Impacto",V320="Impacto"),(AD319-(+AD319*V320)),IF(S320="Impacto",(O319-(+O319*V320)),IF(S320="Probabilidad",AD319,""))),"")</f>
        <v/>
      </c>
      <c r="AE320" s="607"/>
      <c r="AF320" s="605"/>
      <c r="AG320" s="435"/>
      <c r="AH320" s="435"/>
      <c r="AI320" s="435"/>
      <c r="AJ320" s="188"/>
      <c r="AK320" s="188"/>
      <c r="AL320" s="98"/>
      <c r="AM320" s="98"/>
      <c r="AN320" s="188"/>
      <c r="AO320" s="188"/>
      <c r="AP320" s="497"/>
      <c r="AQ320" s="537"/>
      <c r="AR320" s="183"/>
      <c r="AS320" s="183"/>
      <c r="AT320" s="183"/>
      <c r="AU320" s="183"/>
      <c r="AV320" s="183"/>
      <c r="AW320" s="183"/>
      <c r="FM320" s="89"/>
    </row>
    <row r="321" spans="1:181" s="78" customFormat="1" ht="14.25" customHeight="1" x14ac:dyDescent="0.25">
      <c r="A321" s="325"/>
      <c r="B321" s="126" t="s">
        <v>582</v>
      </c>
      <c r="C321" s="325"/>
      <c r="D321" s="325"/>
      <c r="E321" s="325"/>
      <c r="F321" s="524"/>
      <c r="G321" s="325"/>
      <c r="H321" s="325"/>
      <c r="I321" s="435"/>
      <c r="J321" s="493"/>
      <c r="K321" s="435"/>
      <c r="L321" s="435"/>
      <c r="M321" s="435"/>
      <c r="N321" s="435"/>
      <c r="O321" s="606"/>
      <c r="P321" s="435"/>
      <c r="Q321" s="611"/>
      <c r="R321" s="141"/>
      <c r="S321" s="173"/>
      <c r="T321" s="173"/>
      <c r="U321" s="173"/>
      <c r="V321" s="173" t="str">
        <f t="shared" ref="V321:V323" si="140">IF(AND(T321=$FS$2,U321=$FT$2),"50%",IF(AND(T321=$FS$2,U321=$FT$3),"40%",IF(AND(T321=$FS$3,U321=$FT$2),"40%",IF(AND(T321=$FS$3,U321=$FT$3),"30%",IF(AND(T321=$FS$4,U321=$FT$2),"35%",IF(AND(T321=$FS$4,U321=$FT$3),"25%",""))))))</f>
        <v/>
      </c>
      <c r="W321" s="173"/>
      <c r="X321" s="173"/>
      <c r="Y321" s="173"/>
      <c r="Z321" s="144" t="str">
        <f>IFERROR(IF(AND(S320="Probabilidad",S321="Probabilidad"),(Z320-(+Z320*V321)),IF(S321="Probabilidad",(L320-(+L320*V321)),IF(S321="Impacto",Z320,""))),"")</f>
        <v/>
      </c>
      <c r="AA321" s="607"/>
      <c r="AB321" s="605"/>
      <c r="AC321" s="435"/>
      <c r="AD321" s="605" t="str">
        <f t="shared" si="139"/>
        <v/>
      </c>
      <c r="AE321" s="607"/>
      <c r="AF321" s="605"/>
      <c r="AG321" s="435"/>
      <c r="AH321" s="435"/>
      <c r="AI321" s="435"/>
      <c r="AJ321" s="188"/>
      <c r="AK321" s="188"/>
      <c r="AL321" s="98"/>
      <c r="AM321" s="98"/>
      <c r="AN321" s="188"/>
      <c r="AO321" s="188"/>
      <c r="AP321" s="497"/>
      <c r="AQ321" s="537"/>
      <c r="AR321" s="183"/>
      <c r="AS321" s="183"/>
      <c r="AT321" s="183"/>
      <c r="AU321" s="183"/>
      <c r="AV321" s="183"/>
      <c r="AW321" s="183"/>
      <c r="FM321" s="89"/>
    </row>
    <row r="322" spans="1:181" s="78" customFormat="1" ht="14.25" customHeight="1" x14ac:dyDescent="0.25">
      <c r="A322" s="325"/>
      <c r="B322" s="126" t="s">
        <v>582</v>
      </c>
      <c r="C322" s="325"/>
      <c r="D322" s="325"/>
      <c r="E322" s="325"/>
      <c r="F322" s="524"/>
      <c r="G322" s="325"/>
      <c r="H322" s="325"/>
      <c r="I322" s="435"/>
      <c r="J322" s="493"/>
      <c r="K322" s="435"/>
      <c r="L322" s="435"/>
      <c r="M322" s="435"/>
      <c r="N322" s="435"/>
      <c r="O322" s="606"/>
      <c r="P322" s="435"/>
      <c r="Q322" s="611"/>
      <c r="R322" s="141"/>
      <c r="S322" s="173"/>
      <c r="T322" s="173"/>
      <c r="U322" s="173"/>
      <c r="V322" s="173" t="str">
        <f t="shared" si="140"/>
        <v/>
      </c>
      <c r="W322" s="173"/>
      <c r="X322" s="173"/>
      <c r="Y322" s="173"/>
      <c r="Z322" s="144" t="str">
        <f>IFERROR(IF(AND(S321="Probabilidad",S322="Probabilidad"),(Z321-(+Z321*V322)),IF(S322="Probabilidad",(L321-(+L321*V322)),IF(S322="Impacto",Z321,""))),"")</f>
        <v/>
      </c>
      <c r="AA322" s="607"/>
      <c r="AB322" s="605"/>
      <c r="AC322" s="435"/>
      <c r="AD322" s="605" t="str">
        <f t="shared" si="139"/>
        <v/>
      </c>
      <c r="AE322" s="607"/>
      <c r="AF322" s="605"/>
      <c r="AG322" s="435"/>
      <c r="AH322" s="435"/>
      <c r="AI322" s="435"/>
      <c r="AJ322" s="188"/>
      <c r="AK322" s="188"/>
      <c r="AL322" s="98"/>
      <c r="AM322" s="98"/>
      <c r="AN322" s="188"/>
      <c r="AO322" s="188"/>
      <c r="AP322" s="497"/>
      <c r="AQ322" s="537"/>
      <c r="AR322" s="183"/>
      <c r="AS322" s="183"/>
      <c r="AT322" s="183"/>
      <c r="AU322" s="183"/>
      <c r="AV322" s="183"/>
      <c r="AW322" s="183"/>
      <c r="FM322" s="89"/>
    </row>
    <row r="323" spans="1:181" s="78" customFormat="1" ht="14.25" customHeight="1" x14ac:dyDescent="0.2">
      <c r="A323" s="459"/>
      <c r="B323" s="126" t="s">
        <v>582</v>
      </c>
      <c r="C323" s="459"/>
      <c r="D323" s="459"/>
      <c r="E323" s="459"/>
      <c r="F323" s="525"/>
      <c r="G323" s="459"/>
      <c r="H323" s="459"/>
      <c r="I323" s="436"/>
      <c r="J323" s="494"/>
      <c r="K323" s="436"/>
      <c r="L323" s="436"/>
      <c r="M323" s="436"/>
      <c r="N323" s="436"/>
      <c r="O323" s="608"/>
      <c r="P323" s="436"/>
      <c r="Q323" s="611"/>
      <c r="R323" s="141"/>
      <c r="S323" s="173"/>
      <c r="T323" s="173"/>
      <c r="U323" s="173"/>
      <c r="V323" s="173" t="str">
        <f t="shared" si="140"/>
        <v/>
      </c>
      <c r="W323" s="173"/>
      <c r="X323" s="173"/>
      <c r="Y323" s="173"/>
      <c r="Z323" s="144" t="str">
        <f>IFERROR(IF(AND(S322="Probabilidad",S323="Probabilidad"),(Z322-(+Z322*V323)),IF(S323="Probabilidad",(L322-(+L322*V323)),IF(S323="Impacto",Z322,""))),"")</f>
        <v/>
      </c>
      <c r="AA323" s="609"/>
      <c r="AB323" s="605"/>
      <c r="AC323" s="436"/>
      <c r="AD323" s="605" t="str">
        <f t="shared" si="139"/>
        <v/>
      </c>
      <c r="AE323" s="609"/>
      <c r="AF323" s="605"/>
      <c r="AG323" s="436"/>
      <c r="AH323" s="436"/>
      <c r="AI323" s="436"/>
      <c r="AJ323" s="188"/>
      <c r="AK323" s="188"/>
      <c r="AL323" s="98"/>
      <c r="AM323" s="98"/>
      <c r="AN323" s="188"/>
      <c r="AO323" s="188"/>
      <c r="AP323" s="498"/>
      <c r="AQ323" s="538"/>
      <c r="AR323" s="183"/>
      <c r="AS323" s="183"/>
      <c r="AT323" s="183"/>
      <c r="AU323" s="183"/>
      <c r="AV323" s="183"/>
      <c r="AW323" s="183"/>
      <c r="FM323" s="90"/>
      <c r="FN323" s="87"/>
      <c r="FO323" s="87"/>
      <c r="FQ323" s="87"/>
      <c r="FR323" s="87"/>
      <c r="FS323" s="87"/>
      <c r="FT323" s="87"/>
      <c r="FU323" s="87"/>
      <c r="FV323" s="87"/>
      <c r="FW323" s="87"/>
      <c r="FX323" s="87"/>
      <c r="FY323" s="87"/>
    </row>
    <row r="324" spans="1:181" s="78" customFormat="1" ht="14.25" customHeight="1" x14ac:dyDescent="0.2">
      <c r="A324" s="444">
        <v>60</v>
      </c>
      <c r="B324" s="126" t="s">
        <v>582</v>
      </c>
      <c r="C324" s="444" t="s">
        <v>248</v>
      </c>
      <c r="D324" s="444" t="s">
        <v>846</v>
      </c>
      <c r="E324" s="444" t="s">
        <v>847</v>
      </c>
      <c r="F324" s="523" t="s">
        <v>615</v>
      </c>
      <c r="G324" s="444" t="s">
        <v>149</v>
      </c>
      <c r="H324" s="444" t="s">
        <v>150</v>
      </c>
      <c r="I324" s="434" t="s">
        <v>83</v>
      </c>
      <c r="J324" s="492">
        <v>24</v>
      </c>
      <c r="K324" s="434" t="str">
        <f>IF(AND(J324&lt;=2),"Muy Baja",IF(AND(J324&gt;=3,J324&lt;=23),"Baja",IF(AND(J324&gt;=24,J324&lt;=499),"Media",IF(AND(J324&gt;=500,J324&lt;=4999),"Alta",IF(AND(J324&gt;=5000),"Muy Alta",FALSE)))))</f>
        <v>Media</v>
      </c>
      <c r="L324" s="434" t="str">
        <f>IF(AND(J324&lt;=2),"20%",IF(AND(J324&gt;=3,J324&lt;=23),"40%",IF(AND(J324&gt;=24,J324&lt;=499),"60%",IF(AND(J324&gt;=500,J324&lt;=4999),"80%",IF(AND(J324&gt;=5000),"100%",FALSE)))))</f>
        <v>60%</v>
      </c>
      <c r="M324" s="434" t="s">
        <v>186</v>
      </c>
      <c r="N324" s="434" t="str">
        <f>IF(AND(M324=$FQ$4),"Leve",IF(AND(M324=$FQ$5),"Menor",IF(AND(M324=$FQ$6),"Moderado",IF(AND(M324=$FQ$7),"mayor",IF(AND(M324=$FQ$8),"Catastrófico",IF(AND(M324=$FQ$10),"Leve",IF(AND(M324=$FQ$11),"Menor",IF(AND(M324=$FQ$12),"Moderado",IF(AND(M324=$FQ$13),"Mayor",IF(AND(M324=$FQ$14),"Catastrófico",FALSE))))))))))</f>
        <v>Moderado</v>
      </c>
      <c r="O324" s="610" t="str">
        <f>IF(AND(N324="Leve"),"20%",IF(AND(N324="Menor"),"40%",IF(AND(N324="Moderado"),"60%",IF(AND(N324="Mayor"),"80%",IF(AND(N324="Catastrófico"),"100%","")))))</f>
        <v>60%</v>
      </c>
      <c r="P324" s="434" t="str">
        <f>IF(AND(L324&lt;="40%",O324="20%"),"Bajo",IF(AND(L324="60%",O324="20%"),"Moderado",IF(AND(L324="80%",O324="20%"),"Moderado",IF(AND(L324="100%",O324="20%"),"Alto",IF(AND(L324="20%",O324="40%"),"Bajo",IF(AND(L324="40%",O324="40%"),"Moderado",IF(AND(L324="60%",O324="40%"),"Moderado",IF(AND(L324="80%",O324="40%"),"Moderado",IF(AND(L324="100%",O324="40%"),"Alto",IF(AND(L324="20%",O324="60%"),"Moderado",IF(AND(L324="40%",O324="60%"),"Moderado",IF(AND(L324="60%",O324="60%"),"Moderado",IF(AND(L324="80%",O324="60%"),"Alto",IF(AND(L324="100%",O324="60%"),"Alto",IF(AND(L324="20%",O324="80%"),"Alto",IF(AND(L324="40%",O324="80%"),"Alto",IF(AND(L324="60%",O324="80%"),"Alto",IF(AND(L324="80%",O324="80%"),"Alto",IF(AND(L324="100%",O324="80%"),"Alto",IF(AND(L324="20%",O324="100%"),"Extremo",IF(AND(L324="40%",O324="100%"),"Extremo",IF(AND(L324="60%",O324="100%"),"Extremo",IF(AND(L324="80%",O324="100%"),"Moderado",IF(AND(L324="100%",O324="100%"),"Extremo",""""))))))))))))))))))))))))</f>
        <v>Moderado</v>
      </c>
      <c r="Q324" s="611">
        <v>1</v>
      </c>
      <c r="R324" s="141" t="s">
        <v>848</v>
      </c>
      <c r="S324" s="173" t="s">
        <v>237</v>
      </c>
      <c r="T324" s="173" t="s">
        <v>152</v>
      </c>
      <c r="U324" s="173" t="s">
        <v>153</v>
      </c>
      <c r="V324" s="173" t="str">
        <f>IF(AND(T324=$FS$2,U324=$FT$2),"50%",IF(AND(T324=$FS$2,U324=$FT$3),"40%",IF(AND(T324=$FS$3,U324=$FT$2),"40%",IF(AND(T324=$FS$3,U324=$FT$3),"30%",IF(AND(T324=$FS$4,U324=$FT$2),"35%",IF(AND(T324=$FS$4,U324=$FT$3),"25%",""))))))</f>
        <v>40%</v>
      </c>
      <c r="W324" s="173" t="s">
        <v>154</v>
      </c>
      <c r="X324" s="173" t="s">
        <v>155</v>
      </c>
      <c r="Y324" s="173" t="s">
        <v>156</v>
      </c>
      <c r="Z324" s="144">
        <f>IFERROR(IF(S324="Probabilidad",(L324-(+L324*V324)),IF(S324="Impacto",L324,"")),"")</f>
        <v>0.36</v>
      </c>
      <c r="AA324" s="612">
        <f>LOOKUP(2,1/(Z324:Z329&lt;&gt;""),Z324:Z329)</f>
        <v>0.36</v>
      </c>
      <c r="AB324" s="605"/>
      <c r="AC324" s="434" t="str">
        <f>IF(AND(AA324&lt;=20%),"Muy Baja",IF(AND(AA324&gt;=21%,AA324&lt;=40%),"Baja",IF(AND(AA324&gt;=41%,AA324&lt;=60%),"Media",IF(AND(AA324&gt;=61%,AA324&lt;=80%),"Alta",IF(AND(AA324&gt;=81%,AA324&gt;=100%),"Muy Alta",FALSE)))))</f>
        <v>Baja</v>
      </c>
      <c r="AD324" s="605" t="str">
        <f>IFERROR(IF(S324="Impacto",(O324-(+O324*V324)),IF(S324="Probabilidad",O324,"")),"")</f>
        <v>60%</v>
      </c>
      <c r="AE324" s="612" t="str">
        <f>LOOKUP(2,1/(AD324:AD329&lt;&gt;""),AD324:AD329)</f>
        <v>60%</v>
      </c>
      <c r="AF324" s="605"/>
      <c r="AG324" s="434" t="str">
        <f>IF(AND(AE324&lt;=20%),"Leve",IF(AND(AE324&gt;=21%,AE324&lt;=40%),"Menor",IF(AND(AE324&gt;="41%",AE324&lt;="60%"),"Moderado",IF(AND(AE324&gt;=61%,AE324&lt;=80%),"Mayor",IF(AND(AE324&gt;=81%,AE324&gt;=100%),"Catastrófico",FALSE)))))</f>
        <v>Moderado</v>
      </c>
      <c r="AH324" s="434" t="str">
        <f>IF(OR(AND(AC324="Media",AG324="Leve"),AND(AC324="Alta",AG324="Leve"),AND(AC324="Alta",AG324="Menor"),AND(AC324="Media",AG324="Menor"),AND(AC324="Baja",AG324="Menor"),AND(AC324="Media",AG324="Moderado"),AND(AC324="Baja",AG324="Moderado"),AND(AC324="Muy Baja",AG324="Moderado")),"Moderado",IF(OR(AND(AC324="Baja",AG324="Leve"),AND(AC324="Muy Baja",AG324="Leve"),AND(AC324="Muy Baja",AG324="Menor")),"Bajo",IF(OR(AND(AC324="Muy Alta",AG324="Leve"),AND(AC324="Muy Alta",AG324="Menor"),AND(AC324="Muy Alta",AG324="Moderado"),AND(AC324="Alta",AG324="Moderado"),AND(AC324="Muy Alta",AG324="Mayor"),AND(AC324="Alta",AG324="Mayor"),AND(AC324="Media",AG324="Mayor"),AND(AC324="Baja",AG324="Mayor"),AND(AC324="Muy Baja",AG324="Mayor")),"Alto",IF(OR(AND(AC324="Alta",AG324="Catastrófico"),AND(AC324="Muy Alta",AG324="Catastrófico"),AND(AC324="Media",AG324="Catastrófico"),AND(AC324="Baja",AG324="Catastrófico"),AND(AC324="Muy Baja",AG324="Catastrófico")),"Extremo",IF(AG324="Catastrófico","Extremo")))))</f>
        <v>Moderado</v>
      </c>
      <c r="AI324" s="434" t="s">
        <v>77</v>
      </c>
      <c r="AJ324" s="188"/>
      <c r="AK324" s="188"/>
      <c r="AL324" s="98"/>
      <c r="AM324" s="98"/>
      <c r="AN324" s="92"/>
      <c r="AO324" s="188"/>
      <c r="AP324" s="496" t="s">
        <v>614</v>
      </c>
      <c r="AQ324" s="539" t="s">
        <v>113</v>
      </c>
      <c r="AR324" s="183"/>
      <c r="AS324" s="183"/>
      <c r="AT324" s="183"/>
      <c r="AU324" s="183"/>
      <c r="AV324" s="183"/>
      <c r="AW324" s="183"/>
      <c r="FM324" s="89"/>
      <c r="FQ324" s="80"/>
    </row>
    <row r="325" spans="1:181" s="78" customFormat="1" ht="14.25" customHeight="1" x14ac:dyDescent="0.2">
      <c r="A325" s="325"/>
      <c r="B325" s="126" t="s">
        <v>582</v>
      </c>
      <c r="C325" s="325"/>
      <c r="D325" s="325"/>
      <c r="E325" s="325"/>
      <c r="F325" s="524"/>
      <c r="G325" s="325"/>
      <c r="H325" s="325"/>
      <c r="I325" s="435"/>
      <c r="J325" s="493"/>
      <c r="K325" s="435"/>
      <c r="L325" s="435"/>
      <c r="M325" s="435"/>
      <c r="N325" s="435"/>
      <c r="O325" s="606"/>
      <c r="P325" s="435"/>
      <c r="Q325" s="611"/>
      <c r="R325" s="141"/>
      <c r="S325" s="173"/>
      <c r="T325" s="173"/>
      <c r="U325" s="173"/>
      <c r="V325" s="173"/>
      <c r="W325" s="173"/>
      <c r="X325" s="173"/>
      <c r="Y325" s="173"/>
      <c r="Z325" s="144" t="str">
        <f>IFERROR(IF(AND(S324="Probabilidad",S325="Probabilidad"),(Z324-(+Z324*V325)),IF(S325="Probabilidad",(L324-(+L324*V325)),IF(S325="Impacto",Z324,""))),"")</f>
        <v/>
      </c>
      <c r="AA325" s="607"/>
      <c r="AB325" s="605"/>
      <c r="AC325" s="435"/>
      <c r="AD325" s="605" t="str">
        <f>IFERROR(IF(AND(S324="Impacto",V325="Impacto"),(AD324-(+AD324*V325)),IF(S325="Impacto",(O324-(+O324*V325)),IF(S325="Probabilidad",AD324,""))),"")</f>
        <v/>
      </c>
      <c r="AE325" s="607"/>
      <c r="AF325" s="605"/>
      <c r="AG325" s="435"/>
      <c r="AH325" s="435"/>
      <c r="AI325" s="435"/>
      <c r="AJ325" s="188"/>
      <c r="AK325" s="188"/>
      <c r="AL325" s="98"/>
      <c r="AM325" s="98"/>
      <c r="AN325" s="188"/>
      <c r="AO325" s="188"/>
      <c r="AP325" s="497"/>
      <c r="AQ325" s="537"/>
      <c r="AR325" s="183"/>
      <c r="AS325" s="183"/>
      <c r="AT325" s="183"/>
      <c r="AU325" s="183"/>
      <c r="AV325" s="183"/>
      <c r="AW325" s="183"/>
      <c r="FM325" s="89"/>
      <c r="FP325" s="87"/>
    </row>
    <row r="326" spans="1:181" s="78" customFormat="1" ht="14.25" customHeight="1" x14ac:dyDescent="0.25">
      <c r="A326" s="325"/>
      <c r="B326" s="126" t="s">
        <v>582</v>
      </c>
      <c r="C326" s="325"/>
      <c r="D326" s="325"/>
      <c r="E326" s="325"/>
      <c r="F326" s="524"/>
      <c r="G326" s="325"/>
      <c r="H326" s="325"/>
      <c r="I326" s="435"/>
      <c r="J326" s="493"/>
      <c r="K326" s="435"/>
      <c r="L326" s="435"/>
      <c r="M326" s="435"/>
      <c r="N326" s="435"/>
      <c r="O326" s="606"/>
      <c r="P326" s="435"/>
      <c r="Q326" s="611"/>
      <c r="R326" s="141"/>
      <c r="S326" s="173"/>
      <c r="T326" s="173"/>
      <c r="U326" s="173"/>
      <c r="V326" s="173"/>
      <c r="W326" s="173"/>
      <c r="X326" s="173"/>
      <c r="Y326" s="173"/>
      <c r="Z326" s="144" t="str">
        <f>IFERROR(IF(AND(S325="Probabilidad",S326="Probabilidad"),(Z325-(+Z325*V326)),IF(S326="Probabilidad",(L325-(+L325*V326)),IF(S326="Impacto",Z325,""))),"")</f>
        <v/>
      </c>
      <c r="AA326" s="607"/>
      <c r="AB326" s="605"/>
      <c r="AC326" s="435"/>
      <c r="AD326" s="605" t="str">
        <f t="shared" ref="AD326:AD329" si="141">IFERROR(IF(AND(S325="Impacto",V326="Impacto"),(AD325-(+AD325*V326)),IF(S326="Impacto",(O325-(+O325*V326)),IF(S326="Probabilidad",AD325,""))),"")</f>
        <v/>
      </c>
      <c r="AE326" s="607"/>
      <c r="AF326" s="605"/>
      <c r="AG326" s="435"/>
      <c r="AH326" s="435"/>
      <c r="AI326" s="435"/>
      <c r="AJ326" s="188"/>
      <c r="AK326" s="188"/>
      <c r="AL326" s="98"/>
      <c r="AM326" s="98"/>
      <c r="AN326" s="188"/>
      <c r="AO326" s="188"/>
      <c r="AP326" s="497"/>
      <c r="AQ326" s="537"/>
      <c r="AR326" s="183"/>
      <c r="AS326" s="183"/>
      <c r="AT326" s="183"/>
      <c r="AU326" s="183"/>
      <c r="AV326" s="183"/>
      <c r="AW326" s="183"/>
      <c r="FM326" s="89"/>
    </row>
    <row r="327" spans="1:181" s="78" customFormat="1" ht="14.25" customHeight="1" x14ac:dyDescent="0.25">
      <c r="A327" s="325"/>
      <c r="B327" s="126" t="s">
        <v>582</v>
      </c>
      <c r="C327" s="325"/>
      <c r="D327" s="325"/>
      <c r="E327" s="325"/>
      <c r="F327" s="524"/>
      <c r="G327" s="325"/>
      <c r="H327" s="325"/>
      <c r="I327" s="435"/>
      <c r="J327" s="493"/>
      <c r="K327" s="435"/>
      <c r="L327" s="435"/>
      <c r="M327" s="435"/>
      <c r="N327" s="435"/>
      <c r="O327" s="606"/>
      <c r="P327" s="435"/>
      <c r="Q327" s="611"/>
      <c r="R327" s="141"/>
      <c r="S327" s="173"/>
      <c r="T327" s="173"/>
      <c r="U327" s="173"/>
      <c r="V327" s="173" t="str">
        <f t="shared" ref="V327:V329" si="142">IF(AND(T327=$FS$2,U327=$FT$2),"50%",IF(AND(T327=$FS$2,U327=$FT$3),"40%",IF(AND(T327=$FS$3,U327=$FT$2),"40%",IF(AND(T327=$FS$3,U327=$FT$3),"30%",IF(AND(T327=$FS$4,U327=$FT$2),"35%",IF(AND(T327=$FS$4,U327=$FT$3),"25%",""))))))</f>
        <v/>
      </c>
      <c r="W327" s="173"/>
      <c r="X327" s="173"/>
      <c r="Y327" s="173"/>
      <c r="Z327" s="144" t="str">
        <f>IFERROR(IF(AND(S326="Probabilidad",S327="Probabilidad"),(Z326-(+Z326*V327)),IF(S327="Probabilidad",(L326-(+L326*V327)),IF(S327="Impacto",Z326,""))),"")</f>
        <v/>
      </c>
      <c r="AA327" s="607"/>
      <c r="AB327" s="605"/>
      <c r="AC327" s="435"/>
      <c r="AD327" s="605" t="str">
        <f t="shared" si="141"/>
        <v/>
      </c>
      <c r="AE327" s="607"/>
      <c r="AF327" s="605"/>
      <c r="AG327" s="435"/>
      <c r="AH327" s="435"/>
      <c r="AI327" s="435"/>
      <c r="AJ327" s="188"/>
      <c r="AK327" s="188"/>
      <c r="AL327" s="98"/>
      <c r="AM327" s="98"/>
      <c r="AN327" s="188"/>
      <c r="AO327" s="188"/>
      <c r="AP327" s="497"/>
      <c r="AQ327" s="537"/>
      <c r="AR327" s="183"/>
      <c r="AS327" s="183"/>
      <c r="AT327" s="183"/>
      <c r="AU327" s="183"/>
      <c r="AV327" s="183"/>
      <c r="AW327" s="183"/>
      <c r="FM327" s="89"/>
    </row>
    <row r="328" spans="1:181" s="78" customFormat="1" ht="14.25" customHeight="1" x14ac:dyDescent="0.25">
      <c r="A328" s="325"/>
      <c r="B328" s="126" t="s">
        <v>582</v>
      </c>
      <c r="C328" s="325"/>
      <c r="D328" s="325"/>
      <c r="E328" s="325"/>
      <c r="F328" s="524"/>
      <c r="G328" s="325"/>
      <c r="H328" s="325"/>
      <c r="I328" s="435"/>
      <c r="J328" s="493"/>
      <c r="K328" s="435"/>
      <c r="L328" s="435"/>
      <c r="M328" s="435"/>
      <c r="N328" s="435"/>
      <c r="O328" s="606"/>
      <c r="P328" s="435"/>
      <c r="Q328" s="611"/>
      <c r="R328" s="141"/>
      <c r="S328" s="173"/>
      <c r="T328" s="173"/>
      <c r="U328" s="173"/>
      <c r="V328" s="173" t="str">
        <f t="shared" si="142"/>
        <v/>
      </c>
      <c r="W328" s="173"/>
      <c r="X328" s="173"/>
      <c r="Y328" s="173"/>
      <c r="Z328" s="144" t="str">
        <f>IFERROR(IF(AND(S327="Probabilidad",S328="Probabilidad"),(Z327-(+Z327*V328)),IF(S328="Probabilidad",(L327-(+L327*V328)),IF(S328="Impacto",Z327,""))),"")</f>
        <v/>
      </c>
      <c r="AA328" s="607"/>
      <c r="AB328" s="605"/>
      <c r="AC328" s="435"/>
      <c r="AD328" s="605" t="str">
        <f t="shared" si="141"/>
        <v/>
      </c>
      <c r="AE328" s="607"/>
      <c r="AF328" s="605"/>
      <c r="AG328" s="435"/>
      <c r="AH328" s="435"/>
      <c r="AI328" s="435"/>
      <c r="AJ328" s="188"/>
      <c r="AK328" s="188"/>
      <c r="AL328" s="98"/>
      <c r="AM328" s="98"/>
      <c r="AN328" s="188"/>
      <c r="AO328" s="188"/>
      <c r="AP328" s="497"/>
      <c r="AQ328" s="537"/>
      <c r="AR328" s="183"/>
      <c r="AS328" s="183"/>
      <c r="AT328" s="183"/>
      <c r="AU328" s="183"/>
      <c r="AV328" s="183"/>
      <c r="AW328" s="183"/>
      <c r="FM328" s="89"/>
    </row>
    <row r="329" spans="1:181" s="78" customFormat="1" ht="14.25" customHeight="1" x14ac:dyDescent="0.2">
      <c r="A329" s="459"/>
      <c r="B329" s="126" t="s">
        <v>582</v>
      </c>
      <c r="C329" s="459"/>
      <c r="D329" s="459"/>
      <c r="E329" s="459"/>
      <c r="F329" s="525"/>
      <c r="G329" s="459"/>
      <c r="H329" s="459"/>
      <c r="I329" s="436"/>
      <c r="J329" s="494"/>
      <c r="K329" s="436"/>
      <c r="L329" s="436"/>
      <c r="M329" s="436"/>
      <c r="N329" s="436"/>
      <c r="O329" s="608"/>
      <c r="P329" s="436"/>
      <c r="Q329" s="611"/>
      <c r="R329" s="141"/>
      <c r="S329" s="173"/>
      <c r="T329" s="173"/>
      <c r="U329" s="173"/>
      <c r="V329" s="173" t="str">
        <f t="shared" si="142"/>
        <v/>
      </c>
      <c r="W329" s="173"/>
      <c r="X329" s="173"/>
      <c r="Y329" s="173"/>
      <c r="Z329" s="144" t="str">
        <f>IFERROR(IF(AND(S328="Probabilidad",S329="Probabilidad"),(Z328-(+Z328*V329)),IF(S329="Probabilidad",(L328-(+L328*V329)),IF(S329="Impacto",Z328,""))),"")</f>
        <v/>
      </c>
      <c r="AA329" s="609"/>
      <c r="AB329" s="605"/>
      <c r="AC329" s="436"/>
      <c r="AD329" s="605" t="str">
        <f t="shared" si="141"/>
        <v/>
      </c>
      <c r="AE329" s="609"/>
      <c r="AF329" s="605"/>
      <c r="AG329" s="436"/>
      <c r="AH329" s="436"/>
      <c r="AI329" s="436"/>
      <c r="AJ329" s="188"/>
      <c r="AK329" s="188"/>
      <c r="AL329" s="98"/>
      <c r="AM329" s="98"/>
      <c r="AN329" s="188"/>
      <c r="AO329" s="188"/>
      <c r="AP329" s="498"/>
      <c r="AQ329" s="538"/>
      <c r="AR329" s="183"/>
      <c r="AS329" s="183"/>
      <c r="AT329" s="183"/>
      <c r="AU329" s="183"/>
      <c r="AV329" s="183"/>
      <c r="AW329" s="183"/>
      <c r="FM329" s="90"/>
      <c r="FN329" s="87"/>
      <c r="FO329" s="87"/>
      <c r="FQ329" s="87"/>
      <c r="FR329" s="87"/>
      <c r="FS329" s="87"/>
      <c r="FT329" s="87"/>
      <c r="FU329" s="87"/>
      <c r="FV329" s="87"/>
      <c r="FW329" s="87"/>
      <c r="FX329" s="87"/>
      <c r="FY329" s="87"/>
    </row>
    <row r="330" spans="1:181" s="78" customFormat="1" ht="14.25" customHeight="1" x14ac:dyDescent="0.2">
      <c r="A330" s="444">
        <v>61</v>
      </c>
      <c r="B330" s="126" t="s">
        <v>582</v>
      </c>
      <c r="C330" s="444" t="s">
        <v>233</v>
      </c>
      <c r="D330" s="444" t="s">
        <v>616</v>
      </c>
      <c r="E330" s="444" t="s">
        <v>617</v>
      </c>
      <c r="F330" s="523" t="s">
        <v>750</v>
      </c>
      <c r="G330" s="444" t="s">
        <v>265</v>
      </c>
      <c r="H330" s="444" t="s">
        <v>255</v>
      </c>
      <c r="I330" s="492" t="s">
        <v>618</v>
      </c>
      <c r="J330" s="492">
        <v>444</v>
      </c>
      <c r="K330" s="434" t="str">
        <f>IF(AND(J330&lt;=2),"Muy Baja",IF(AND(J330&gt;=3,J330&lt;=23),"Baja",IF(AND(J330&gt;=24,J330&lt;=499),"Media",IF(AND(J330&gt;=500,J330&lt;=4999),"Alta",IF(AND(J330&gt;=5000),"Muy Alta",FALSE)))))</f>
        <v>Media</v>
      </c>
      <c r="L330" s="434" t="str">
        <f>IF(AND(J330&lt;=2),"20%",IF(AND(J330&gt;=3,J330&lt;=23),"40%",IF(AND(J330&gt;=24,J330&lt;=499),"60%",IF(AND(J330&gt;=500,J330&lt;=4999),"80%",IF(AND(J330&gt;=5000),"100%",FALSE)))))</f>
        <v>60%</v>
      </c>
      <c r="M330" s="434" t="s">
        <v>269</v>
      </c>
      <c r="N330" s="434" t="str">
        <f>IF(AND(M330=$FQ$4),"Leve",IF(AND(M330=$FQ$5),"Menor",IF(AND(M330=$FQ$6),"Moderado",IF(AND(M330=$FQ$7),"mayor",IF(AND(M330=$FQ$8),"Catastrófico",IF(AND(M330=$FQ$10),"Leve",IF(AND(M330=$FQ$11),"Menor",IF(AND(M330=$FQ$12),"Moderado",IF(AND(M330=$FQ$13),"Mayor",IF(AND(M330=$FQ$14),"Catastrófico",FALSE))))))))))</f>
        <v>mayor</v>
      </c>
      <c r="O330" s="610" t="str">
        <f>IF(AND(N330="Leve"),"20%",IF(AND(N330="Menor"),"40%",IF(AND(N330="Moderado"),"60%",IF(AND(N330="Mayor"),"80%",IF(AND(N330="Catastrófico"),"100%","")))))</f>
        <v>80%</v>
      </c>
      <c r="P330" s="434" t="str">
        <f>IF(AND(L330&lt;="40%",O330="20%"),"Bajo",IF(AND(L330="60%",O330="20%"),"Moderado",IF(AND(L330="80%",O330="20%"),"Moderado",IF(AND(L330="100%",O330="20%"),"Alto",IF(AND(L330="20%",O330="40%"),"Bajo",IF(AND(L330="40%",O330="40%"),"Moderado",IF(AND(L330="60%",O330="40%"),"Moderado",IF(AND(L330="80%",O330="40%"),"Moderado",IF(AND(L330="100%",O330="40%"),"Alto",IF(AND(L330="20%",O330="60%"),"Moderado",IF(AND(L330="40%",O330="60%"),"Moderado",IF(AND(L330="60%",O330="60%"),"Moderado",IF(AND(L330="80%",O330="60%"),"Alto",IF(AND(L330="100%",O330="60%"),"Alto",IF(AND(L330="20%",O330="80%"),"Alto",IF(AND(L330="40%",O330="80%"),"Alto",IF(AND(L330="60%",O330="80%"),"Alto",IF(AND(L330="80%",O330="80%"),"Alto",IF(AND(L330="100%",O330="80%"),"Alto",IF(AND(L330="20%",O330="100%"),"Extremo",IF(AND(L330="40%",O330="100%"),"Extremo",IF(AND(L330="60%",O330="100%"),"Extremo",IF(AND(L330="80%",O330="100%"),"Moderado",IF(AND(L330="100%",O330="100%"),"Extremo",""""))))))))))))))))))))))))</f>
        <v>Alto</v>
      </c>
      <c r="Q330" s="611">
        <v>1</v>
      </c>
      <c r="R330" s="141" t="s">
        <v>619</v>
      </c>
      <c r="S330" s="173" t="s">
        <v>237</v>
      </c>
      <c r="T330" s="173" t="s">
        <v>152</v>
      </c>
      <c r="U330" s="173" t="s">
        <v>153</v>
      </c>
      <c r="V330" s="173" t="str">
        <f>IF(AND(T330=$FS$2,U330=$FT$2),"50%",IF(AND(T330=$FS$2,U330=$FT$3),"40%",IF(AND(T330=$FS$3,U330=$FT$2),"40%",IF(AND(T330=$FS$3,U330=$FT$3),"30%",IF(AND(T330=$FS$4,U330=$FT$2),"35%",IF(AND(T330=$FS$4,U330=$FT$3),"25%",""))))))</f>
        <v>40%</v>
      </c>
      <c r="W330" s="173" t="s">
        <v>154</v>
      </c>
      <c r="X330" s="173" t="s">
        <v>155</v>
      </c>
      <c r="Y330" s="173" t="s">
        <v>156</v>
      </c>
      <c r="Z330" s="144">
        <f>IFERROR(IF(S330="Probabilidad",(L330-(+L330*V330)),IF(S330="Impacto",L330,"")),"")</f>
        <v>0.36</v>
      </c>
      <c r="AA330" s="612">
        <f>LOOKUP(2,1/(Z330:Z335&lt;&gt;""),Z330:Z335)</f>
        <v>0.18</v>
      </c>
      <c r="AB330" s="605"/>
      <c r="AC330" s="434" t="str">
        <f>IF(AND(AA330&lt;=20%),"Muy Baja",IF(AND(AA330&gt;=21%,AA330&lt;=40%),"Baja",IF(AND(AA330&gt;=41%,AA330&lt;=60%),"Media",IF(AND(AA330&gt;=61%,AA330&lt;=80%),"Alta",IF(AND(AA330&gt;=81%,AA330&gt;=100%),"Muy Alta",FALSE)))))</f>
        <v>Muy Baja</v>
      </c>
      <c r="AD330" s="605" t="str">
        <f>IFERROR(IF(S330="Impacto",(O330-(+O330*V330)),IF(S330="Probabilidad",O330,"")),"")</f>
        <v>80%</v>
      </c>
      <c r="AE330" s="612" t="str">
        <f>LOOKUP(2,1/(AD330:AD335&lt;&gt;""),AD330:AD335)</f>
        <v>80%</v>
      </c>
      <c r="AF330" s="605"/>
      <c r="AG330" s="434" t="str">
        <f>IF(AND(AE330&lt;=20%),"Leve",IF(AND(AE330&gt;=21%,AE330&lt;=40%),"Menor",IF(AND(AE330&gt;=41%,AE330&lt;=60%),"Moderado",IF(AND(AE330&gt;=61%,AE330&lt;="80%"),"Mayor",IF(AND(AE330&gt;=81%,AE330&gt;=100%),"Catastrófico",FALSE)))))</f>
        <v>Mayor</v>
      </c>
      <c r="AH330" s="434" t="str">
        <f>IF(OR(AND(AC330="Media",AG330="Leve"),AND(AC330="Alta",AG330="Leve"),AND(AC330="Alta",AG330="Menor"),AND(AC330="Media",AG330="Menor"),AND(AC330="Baja",AG330="Menor"),AND(AC330="Media",AG330="Moderado"),AND(AC330="Baja",AG330="Moderado"),AND(AC330="Muy Baja",AG330="Moderado")),"Moderado",IF(OR(AND(AC330="Baja",AG330="Leve"),AND(AC330="Muy Baja",AG330="Leve"),AND(AC330="Muy Baja",AG330="Menor")),"Bajo",IF(OR(AND(AC330="Muy Alta",AG330="Leve"),AND(AC330="Muy Alta",AG330="Menor"),AND(AC330="Muy Alta",AG330="Moderado"),AND(AC330="Alta",AG330="Moderado"),AND(AC330="Muy Alta",AG330="Mayor"),AND(AC330="Alta",AG330="Mayor"),AND(AC330="Media",AG330="Mayor"),AND(AC330="Baja",AG330="Mayor"),AND(AC330="Muy Baja",AG330="Mayor")),"Alto",IF(OR(AND(AC330="Alta",AG330="Catastrófico"),AND(AC330="Muy Alta",AG330="Catastrófico"),AND(AC330="Media",AG330="Catastrófico"),AND(AC330="Baja",AG330="Catastrófico"),AND(AC330="Muy Baja",AG330="Catastrófico")),"Extremo",IF(AG330="Catastrófico","Extremo")))))</f>
        <v>Alto</v>
      </c>
      <c r="AI330" s="434" t="s">
        <v>111</v>
      </c>
      <c r="AJ330" s="188"/>
      <c r="AK330" s="188"/>
      <c r="AL330" s="98"/>
      <c r="AM330" s="98"/>
      <c r="AN330" s="92"/>
      <c r="AO330" s="188"/>
      <c r="AP330" s="496" t="s">
        <v>620</v>
      </c>
      <c r="AQ330" s="539" t="s">
        <v>113</v>
      </c>
      <c r="AR330" s="183"/>
      <c r="AS330" s="183"/>
      <c r="AT330" s="183"/>
      <c r="AU330" s="183"/>
      <c r="AV330" s="183"/>
      <c r="AW330" s="183"/>
      <c r="FM330" s="89"/>
      <c r="FQ330" s="80"/>
    </row>
    <row r="331" spans="1:181" s="78" customFormat="1" ht="14.25" customHeight="1" x14ac:dyDescent="0.2">
      <c r="A331" s="325"/>
      <c r="B331" s="126" t="s">
        <v>582</v>
      </c>
      <c r="C331" s="325"/>
      <c r="D331" s="325"/>
      <c r="E331" s="325"/>
      <c r="F331" s="524"/>
      <c r="G331" s="325"/>
      <c r="H331" s="325"/>
      <c r="I331" s="493"/>
      <c r="J331" s="493"/>
      <c r="K331" s="435"/>
      <c r="L331" s="435"/>
      <c r="M331" s="435"/>
      <c r="N331" s="435"/>
      <c r="O331" s="606"/>
      <c r="P331" s="435"/>
      <c r="Q331" s="611">
        <v>2</v>
      </c>
      <c r="R331" s="141" t="s">
        <v>621</v>
      </c>
      <c r="S331" s="173" t="s">
        <v>237</v>
      </c>
      <c r="T331" s="173" t="s">
        <v>152</v>
      </c>
      <c r="U331" s="173" t="s">
        <v>171</v>
      </c>
      <c r="V331" s="173" t="str">
        <f>IF(AND(T331=$FS$2,U331=$FT$2),"50%",IF(AND(T331=$FS$2,U331=$FT$3),"40%",IF(AND(T331=$FS$3,U331=$FT$2),"40%",IF(AND(T331=$FS$3,U331=$FT$3),"30%",IF(AND(T331=$FS$4,U331=$FT$2),"35%",IF(AND(T331=$FS$4,U331=$FT$3),"25%",""))))))</f>
        <v>50%</v>
      </c>
      <c r="W331" s="173" t="s">
        <v>161</v>
      </c>
      <c r="X331" s="173" t="s">
        <v>164</v>
      </c>
      <c r="Y331" s="173" t="s">
        <v>156</v>
      </c>
      <c r="Z331" s="144">
        <f>IFERROR(IF(AND(S330="Probabilidad",S331="Probabilidad"),(Z330-(+Z330*V331)),IF(S331="Probabilidad",(L330-(+L330*V331)),IF(S331="Impacto",Z330,""))),"")</f>
        <v>0.18</v>
      </c>
      <c r="AA331" s="607"/>
      <c r="AB331" s="605"/>
      <c r="AC331" s="435"/>
      <c r="AD331" s="605" t="str">
        <f>IFERROR(IF(AND(S330="Impacto",V331="Impacto"),(AD330-(+AD330*V331)),IF(S331="Impacto",(O330-(+O330*V331)),IF(S331="Probabilidad",AD330,""))),"")</f>
        <v>80%</v>
      </c>
      <c r="AE331" s="607"/>
      <c r="AF331" s="605"/>
      <c r="AG331" s="435"/>
      <c r="AH331" s="435"/>
      <c r="AI331" s="435"/>
      <c r="AJ331" s="188"/>
      <c r="AK331" s="188"/>
      <c r="AL331" s="98"/>
      <c r="AM331" s="98"/>
      <c r="AN331" s="92"/>
      <c r="AO331" s="188"/>
      <c r="AP331" s="497"/>
      <c r="AQ331" s="537"/>
      <c r="AR331" s="183"/>
      <c r="AS331" s="183"/>
      <c r="AT331" s="183"/>
      <c r="AU331" s="183"/>
      <c r="AV331" s="183"/>
      <c r="AW331" s="183"/>
      <c r="FM331" s="89"/>
      <c r="FP331" s="87"/>
    </row>
    <row r="332" spans="1:181" s="78" customFormat="1" ht="14.25" customHeight="1" x14ac:dyDescent="0.25">
      <c r="A332" s="325"/>
      <c r="B332" s="126" t="s">
        <v>582</v>
      </c>
      <c r="C332" s="325"/>
      <c r="D332" s="325"/>
      <c r="E332" s="325"/>
      <c r="F332" s="524"/>
      <c r="G332" s="325"/>
      <c r="H332" s="325"/>
      <c r="I332" s="493"/>
      <c r="J332" s="493"/>
      <c r="K332" s="435"/>
      <c r="L332" s="435"/>
      <c r="M332" s="435"/>
      <c r="N332" s="435"/>
      <c r="O332" s="606"/>
      <c r="P332" s="435"/>
      <c r="Q332" s="611"/>
      <c r="R332" s="141"/>
      <c r="S332" s="173"/>
      <c r="T332" s="173"/>
      <c r="U332" s="173"/>
      <c r="V332" s="173"/>
      <c r="W332" s="173"/>
      <c r="X332" s="173"/>
      <c r="Y332" s="173"/>
      <c r="Z332" s="144" t="str">
        <f>IFERROR(IF(AND(S331="Probabilidad",S332="Probabilidad"),(Z331-(+Z331*V332)),IF(S332="Probabilidad",(L331-(+L331*V332)),IF(S332="Impacto",Z331,""))),"")</f>
        <v/>
      </c>
      <c r="AA332" s="607"/>
      <c r="AB332" s="605"/>
      <c r="AC332" s="435"/>
      <c r="AD332" s="605" t="str">
        <f t="shared" ref="AD332:AD335" si="143">IFERROR(IF(AND(S331="Impacto",V332="Impacto"),(AD331-(+AD331*V332)),IF(S332="Impacto",(O331-(+O331*V332)),IF(S332="Probabilidad",AD331,""))),"")</f>
        <v/>
      </c>
      <c r="AE332" s="607"/>
      <c r="AF332" s="605"/>
      <c r="AG332" s="435"/>
      <c r="AH332" s="435"/>
      <c r="AI332" s="435"/>
      <c r="AJ332" s="188"/>
      <c r="AK332" s="188"/>
      <c r="AL332" s="98"/>
      <c r="AM332" s="98"/>
      <c r="AN332" s="188"/>
      <c r="AO332" s="188"/>
      <c r="AP332" s="497"/>
      <c r="AQ332" s="537"/>
      <c r="AR332" s="183"/>
      <c r="AS332" s="183"/>
      <c r="AT332" s="183"/>
      <c r="AU332" s="183"/>
      <c r="AV332" s="183"/>
      <c r="AW332" s="183"/>
      <c r="FM332" s="89"/>
    </row>
    <row r="333" spans="1:181" s="78" customFormat="1" ht="14.25" customHeight="1" x14ac:dyDescent="0.25">
      <c r="A333" s="325"/>
      <c r="B333" s="126" t="s">
        <v>582</v>
      </c>
      <c r="C333" s="325"/>
      <c r="D333" s="325"/>
      <c r="E333" s="325"/>
      <c r="F333" s="524"/>
      <c r="G333" s="325"/>
      <c r="H333" s="325"/>
      <c r="I333" s="493"/>
      <c r="J333" s="493"/>
      <c r="K333" s="435"/>
      <c r="L333" s="435"/>
      <c r="M333" s="435"/>
      <c r="N333" s="435"/>
      <c r="O333" s="606"/>
      <c r="P333" s="435"/>
      <c r="Q333" s="611"/>
      <c r="R333" s="141"/>
      <c r="S333" s="173"/>
      <c r="T333" s="173"/>
      <c r="U333" s="173"/>
      <c r="V333" s="173" t="str">
        <f t="shared" ref="V333:V335" si="144">IF(AND(T333=$FS$2,U333=$FT$2),"50%",IF(AND(T333=$FS$2,U333=$FT$3),"40%",IF(AND(T333=$FS$3,U333=$FT$2),"40%",IF(AND(T333=$FS$3,U333=$FT$3),"30%",IF(AND(T333=$FS$4,U333=$FT$2),"35%",IF(AND(T333=$FS$4,U333=$FT$3),"25%",""))))))</f>
        <v/>
      </c>
      <c r="W333" s="173"/>
      <c r="X333" s="173"/>
      <c r="Y333" s="173"/>
      <c r="Z333" s="144" t="str">
        <f>IFERROR(IF(AND(S332="Probabilidad",S333="Probabilidad"),(Z332-(+Z332*V333)),IF(S333="Probabilidad",(L332-(+L332*V333)),IF(S333="Impacto",Z332,""))),"")</f>
        <v/>
      </c>
      <c r="AA333" s="607"/>
      <c r="AB333" s="605"/>
      <c r="AC333" s="435"/>
      <c r="AD333" s="605" t="str">
        <f t="shared" si="143"/>
        <v/>
      </c>
      <c r="AE333" s="607"/>
      <c r="AF333" s="605"/>
      <c r="AG333" s="435"/>
      <c r="AH333" s="435"/>
      <c r="AI333" s="435"/>
      <c r="AJ333" s="188"/>
      <c r="AK333" s="188"/>
      <c r="AL333" s="98"/>
      <c r="AM333" s="98"/>
      <c r="AN333" s="188"/>
      <c r="AO333" s="188"/>
      <c r="AP333" s="497"/>
      <c r="AQ333" s="537"/>
      <c r="AR333" s="183"/>
      <c r="AS333" s="183"/>
      <c r="AT333" s="183"/>
      <c r="AU333" s="183"/>
      <c r="AV333" s="183"/>
      <c r="AW333" s="183"/>
      <c r="FM333" s="89"/>
    </row>
    <row r="334" spans="1:181" s="78" customFormat="1" ht="14.25" customHeight="1" x14ac:dyDescent="0.25">
      <c r="A334" s="325"/>
      <c r="B334" s="126" t="s">
        <v>582</v>
      </c>
      <c r="C334" s="325"/>
      <c r="D334" s="325"/>
      <c r="E334" s="325"/>
      <c r="F334" s="524"/>
      <c r="G334" s="325"/>
      <c r="H334" s="325"/>
      <c r="I334" s="493"/>
      <c r="J334" s="493"/>
      <c r="K334" s="435"/>
      <c r="L334" s="435"/>
      <c r="M334" s="435"/>
      <c r="N334" s="435"/>
      <c r="O334" s="606"/>
      <c r="P334" s="435"/>
      <c r="Q334" s="611"/>
      <c r="R334" s="141"/>
      <c r="S334" s="173"/>
      <c r="T334" s="173"/>
      <c r="U334" s="173"/>
      <c r="V334" s="173" t="str">
        <f t="shared" si="144"/>
        <v/>
      </c>
      <c r="W334" s="173"/>
      <c r="X334" s="173"/>
      <c r="Y334" s="173"/>
      <c r="Z334" s="144" t="str">
        <f>IFERROR(IF(AND(S333="Probabilidad",S334="Probabilidad"),(Z333-(+Z333*V334)),IF(S334="Probabilidad",(L333-(+L333*V334)),IF(S334="Impacto",Z333,""))),"")</f>
        <v/>
      </c>
      <c r="AA334" s="607"/>
      <c r="AB334" s="605"/>
      <c r="AC334" s="435"/>
      <c r="AD334" s="605" t="str">
        <f t="shared" si="143"/>
        <v/>
      </c>
      <c r="AE334" s="607"/>
      <c r="AF334" s="605"/>
      <c r="AG334" s="435"/>
      <c r="AH334" s="435"/>
      <c r="AI334" s="435"/>
      <c r="AJ334" s="188"/>
      <c r="AK334" s="188"/>
      <c r="AL334" s="98"/>
      <c r="AM334" s="98"/>
      <c r="AN334" s="188"/>
      <c r="AO334" s="188"/>
      <c r="AP334" s="497"/>
      <c r="AQ334" s="537"/>
      <c r="AR334" s="183"/>
      <c r="AS334" s="183"/>
      <c r="AT334" s="183"/>
      <c r="AU334" s="183"/>
      <c r="AV334" s="183"/>
      <c r="AW334" s="183"/>
      <c r="FM334" s="89"/>
    </row>
    <row r="335" spans="1:181" s="78" customFormat="1" ht="14.25" customHeight="1" x14ac:dyDescent="0.2">
      <c r="A335" s="459"/>
      <c r="B335" s="126" t="s">
        <v>582</v>
      </c>
      <c r="C335" s="459"/>
      <c r="D335" s="459"/>
      <c r="E335" s="459"/>
      <c r="F335" s="525"/>
      <c r="G335" s="459"/>
      <c r="H335" s="459"/>
      <c r="I335" s="494"/>
      <c r="J335" s="494"/>
      <c r="K335" s="436"/>
      <c r="L335" s="436"/>
      <c r="M335" s="436"/>
      <c r="N335" s="436"/>
      <c r="O335" s="608"/>
      <c r="P335" s="436"/>
      <c r="Q335" s="611"/>
      <c r="R335" s="141"/>
      <c r="S335" s="173"/>
      <c r="T335" s="173"/>
      <c r="U335" s="173"/>
      <c r="V335" s="173" t="str">
        <f t="shared" si="144"/>
        <v/>
      </c>
      <c r="W335" s="173"/>
      <c r="X335" s="173"/>
      <c r="Y335" s="173"/>
      <c r="Z335" s="144" t="str">
        <f>IFERROR(IF(AND(S334="Probabilidad",S335="Probabilidad"),(Z334-(+Z334*V335)),IF(S335="Probabilidad",(L334-(+L334*V335)),IF(S335="Impacto",Z334,""))),"")</f>
        <v/>
      </c>
      <c r="AA335" s="609"/>
      <c r="AB335" s="605"/>
      <c r="AC335" s="436"/>
      <c r="AD335" s="605" t="str">
        <f t="shared" si="143"/>
        <v/>
      </c>
      <c r="AE335" s="609"/>
      <c r="AF335" s="605"/>
      <c r="AG335" s="436"/>
      <c r="AH335" s="436"/>
      <c r="AI335" s="436"/>
      <c r="AJ335" s="188"/>
      <c r="AK335" s="188"/>
      <c r="AL335" s="98"/>
      <c r="AM335" s="98"/>
      <c r="AN335" s="188"/>
      <c r="AO335" s="188"/>
      <c r="AP335" s="498"/>
      <c r="AQ335" s="538"/>
      <c r="AR335" s="183"/>
      <c r="AS335" s="183"/>
      <c r="AT335" s="183"/>
      <c r="AU335" s="183"/>
      <c r="AV335" s="183"/>
      <c r="AW335" s="183"/>
      <c r="FM335" s="90"/>
      <c r="FN335" s="87"/>
      <c r="FO335" s="87"/>
      <c r="FQ335" s="87"/>
      <c r="FR335" s="87"/>
      <c r="FS335" s="87"/>
      <c r="FT335" s="87"/>
      <c r="FU335" s="87"/>
      <c r="FV335" s="87"/>
      <c r="FW335" s="87"/>
      <c r="FX335" s="87"/>
      <c r="FY335" s="87"/>
    </row>
    <row r="336" spans="1:181" s="78" customFormat="1" ht="14.25" customHeight="1" x14ac:dyDescent="0.2">
      <c r="A336" s="444">
        <v>62</v>
      </c>
      <c r="B336" s="126" t="s">
        <v>582</v>
      </c>
      <c r="C336" s="444" t="s">
        <v>248</v>
      </c>
      <c r="D336" s="444" t="s">
        <v>622</v>
      </c>
      <c r="E336" s="444" t="s">
        <v>623</v>
      </c>
      <c r="F336" s="523" t="s">
        <v>624</v>
      </c>
      <c r="G336" s="444" t="s">
        <v>265</v>
      </c>
      <c r="H336" s="444" t="s">
        <v>255</v>
      </c>
      <c r="I336" s="492" t="s">
        <v>625</v>
      </c>
      <c r="J336" s="492">
        <v>8640</v>
      </c>
      <c r="K336" s="434" t="str">
        <f>IF(AND(J336&lt;=2),"Muy Baja",IF(AND(J336&gt;=3,J336&lt;=23),"Baja",IF(AND(J336&gt;=24,J336&lt;=499),"Media",IF(AND(J336&gt;=500,J336&lt;=4999),"Alta",IF(AND(J336&gt;=5000),"Muy Alta",FALSE)))))</f>
        <v>Muy Alta</v>
      </c>
      <c r="L336" s="434" t="str">
        <f>IF(AND(J336&lt;=2),"20%",IF(AND(J336&gt;=3,J336&lt;=23),"40%",IF(AND(J336&gt;=24,J336&lt;=499),"60%",IF(AND(J336&gt;=500,J336&lt;=4999),"80%",IF(AND(J336&gt;=5000),"100%",FALSE)))))</f>
        <v>100%</v>
      </c>
      <c r="M336" s="434" t="s">
        <v>160</v>
      </c>
      <c r="N336" s="434" t="str">
        <f>IF(AND(M336=$FQ$4),"Leve",IF(AND(M336=$FQ$5),"Menor",IF(AND(M336=$FQ$6),"Moderado",IF(AND(M336=$FQ$7),"mayor",IF(AND(M336=$FQ$8),"Catastrófico",IF(AND(M336=$FQ$10),"Leve",IF(AND(M336=$FQ$11),"Menor",IF(AND(M336=$FQ$12),"Moderado",IF(AND(M336=$FQ$13),"Mayor",IF(AND(M336=$FQ$14),"Catastrófico",FALSE))))))))))</f>
        <v>Menor</v>
      </c>
      <c r="O336" s="610" t="str">
        <f>IF(AND(N336="Leve"),"20%",IF(AND(N336="Menor"),"40%",IF(AND(N336="Moderado"),"60%",IF(AND(N336="Mayor"),"80%",IF(AND(N336="Catastrófico"),"100%","")))))</f>
        <v>40%</v>
      </c>
      <c r="P336" s="434" t="str">
        <f>IF(AND(L336&lt;="40%",O336="20%"),"Bajo",IF(AND(L336="60%",O336="20%"),"Moderado",IF(AND(L336="80%",O336="20%"),"Moderado",IF(AND(L336="100%",O336="20%"),"Alto",IF(AND(L336="20%",O336="40%"),"Bajo",IF(AND(L336="40%",O336="40%"),"Moderado",IF(AND(L336="60%",O336="40%"),"Moderado",IF(AND(L336="80%",O336="40%"),"Moderado",IF(AND(L336="100%",O336="40%"),"Alto",IF(AND(L336="20%",O336="60%"),"Moderado",IF(AND(L336="40%",O336="60%"),"Moderado",IF(AND(L336="60%",O336="60%"),"Moderado",IF(AND(L336="80%",O336="60%"),"Alto",IF(AND(L336="100%",O336="60%"),"Alto",IF(AND(L336="20%",O336="80%"),"Alto",IF(AND(L336="40%",O336="80%"),"Alto",IF(AND(L336="60%",O336="80%"),"Alto",IF(AND(L336="80%",O336="80%"),"Alto",IF(AND(L336="100%",O336="80%"),"Alto",IF(AND(L336="20%",O336="100%"),"Extremo",IF(AND(L336="40%",O336="100%"),"Extremo",IF(AND(L336="60%",O336="100%"),"Extremo",IF(AND(L336="80%",O336="100%"),"Moderado",IF(AND(L336="100%",O336="100%"),"Extremo",""""))))))))))))))))))))))))</f>
        <v>Alto</v>
      </c>
      <c r="Q336" s="611">
        <v>1</v>
      </c>
      <c r="R336" s="141" t="s">
        <v>626</v>
      </c>
      <c r="S336" s="173" t="s">
        <v>237</v>
      </c>
      <c r="T336" s="173" t="s">
        <v>152</v>
      </c>
      <c r="U336" s="173" t="s">
        <v>153</v>
      </c>
      <c r="V336" s="173" t="str">
        <f>IF(AND(T336=$FS$2,U336=$FT$2),"50%",IF(AND(T336=$FS$2,U336=$FT$3),"40%",IF(AND(T336=$FS$3,U336=$FT$2),"40%",IF(AND(T336=$FS$3,U336=$FT$3),"30%",IF(AND(T336=$FS$4,U336=$FT$2),"35%",IF(AND(T336=$FS$4,U336=$FT$3),"25%",""))))))</f>
        <v>40%</v>
      </c>
      <c r="W336" s="173" t="s">
        <v>154</v>
      </c>
      <c r="X336" s="173" t="s">
        <v>155</v>
      </c>
      <c r="Y336" s="173" t="s">
        <v>156</v>
      </c>
      <c r="Z336" s="144">
        <f>IFERROR(IF(S336="Probabilidad",(L336-(+L336*V336)),IF(S336="Impacto",L336,"")),"")</f>
        <v>0.6</v>
      </c>
      <c r="AA336" s="612">
        <f>LOOKUP(2,1/(Z336:Z341&lt;&gt;""),Z336:Z341)</f>
        <v>0.36</v>
      </c>
      <c r="AB336" s="605"/>
      <c r="AC336" s="434" t="str">
        <f>IF(AND(AA336&lt;=20%),"Muy Baja",IF(AND(AA336&gt;=21%,AA336&lt;=40%),"Baja",IF(AND(AA336&gt;=41%,AA336&lt;=60%),"Media",IF(AND(AA336&gt;=61%,AA336&lt;=80%),"Alta",IF(AND(AA336&gt;=81%,AA336&gt;=100%),"Muy Alta",FALSE)))))</f>
        <v>Baja</v>
      </c>
      <c r="AD336" s="605" t="str">
        <f>IFERROR(IF(S336="Impacto",(O336-(+O336*V336)),IF(S336="Probabilidad",O336,"")),"")</f>
        <v>40%</v>
      </c>
      <c r="AE336" s="612" t="str">
        <f>LOOKUP(2,1/(AD336:AD341&lt;&gt;""),AD336:AD341)</f>
        <v>40%</v>
      </c>
      <c r="AF336" s="605"/>
      <c r="AG336" s="434" t="str">
        <f>IF(AND(AE336&lt;=20%),"Leve",IF(AND(AE336&gt;=21%,AE336&lt;="40%"),"Menor",IF(AND(AE336&gt;=41%,AE336&lt;=60%),"Moderado",IF(AND(AE336&gt;=61%,AE336&lt;=80%),"Mayor",IF(AND(AE336&gt;=81%,AE336&gt;=100%),"Catastrófico",FALSE)))))</f>
        <v>Menor</v>
      </c>
      <c r="AH336" s="434" t="str">
        <f>IF(OR(AND(AC336="Media",AG336="Leve"),AND(AC336="Alta",AG336="Leve"),AND(AC336="Alta",AG336="Menor"),AND(AC336="Media",AG336="Menor"),AND(AC336="Baja",AG336="Menor"),AND(AC336="Media",AG336="Moderado"),AND(AC336="Baja",AG336="Moderado"),AND(AC336="Muy Baja",AG336="Moderado")),"Moderado",IF(OR(AND(AC336="Baja",AG336="Leve"),AND(AC336="Muy Baja",AG336="Leve"),AND(AC336="Muy Baja",AG336="Menor")),"Bajo",IF(OR(AND(AC336="Muy Alta",AG336="Leve"),AND(AC336="Muy Alta",AG336="Menor"),AND(AC336="Muy Alta",AG336="Moderado"),AND(AC336="Alta",AG336="Moderado"),AND(AC336="Muy Alta",AG336="Mayor"),AND(AC336="Alta",AG336="Mayor"),AND(AC336="Media",AG336="Mayor"),AND(AC336="Baja",AG336="Mayor"),AND(AC336="Muy Baja",AG336="Mayor")),"Alto",IF(OR(AND(AC336="Alta",AG336="Catastrófico"),AND(AC336="Muy Alta",AG336="Catastrófico"),AND(AC336="Media",AG336="Catastrófico"),AND(AC336="Baja",AG336="Catastrófico"),AND(AC336="Muy Baja",AG336="Catastrófico")),"Extremo",IF(AG336="Catastrófico","Extremo")))))</f>
        <v>Moderado</v>
      </c>
      <c r="AI336" s="434" t="s">
        <v>111</v>
      </c>
      <c r="AJ336" s="188"/>
      <c r="AK336" s="188"/>
      <c r="AL336" s="98"/>
      <c r="AM336" s="98"/>
      <c r="AN336" s="92"/>
      <c r="AO336" s="188"/>
      <c r="AP336" s="496" t="s">
        <v>627</v>
      </c>
      <c r="AQ336" s="539" t="s">
        <v>113</v>
      </c>
      <c r="AR336" s="183"/>
      <c r="AS336" s="183"/>
      <c r="AT336" s="183"/>
      <c r="AU336" s="183"/>
      <c r="AV336" s="183"/>
      <c r="AW336" s="183"/>
      <c r="FM336" s="89"/>
      <c r="FQ336" s="80"/>
    </row>
    <row r="337" spans="1:181" s="78" customFormat="1" ht="14.25" customHeight="1" x14ac:dyDescent="0.2">
      <c r="A337" s="325"/>
      <c r="B337" s="126" t="s">
        <v>582</v>
      </c>
      <c r="C337" s="325"/>
      <c r="D337" s="325"/>
      <c r="E337" s="325"/>
      <c r="F337" s="524"/>
      <c r="G337" s="325"/>
      <c r="H337" s="325"/>
      <c r="I337" s="493"/>
      <c r="J337" s="493"/>
      <c r="K337" s="435"/>
      <c r="L337" s="435"/>
      <c r="M337" s="435"/>
      <c r="N337" s="435"/>
      <c r="O337" s="606"/>
      <c r="P337" s="435"/>
      <c r="Q337" s="611">
        <v>2</v>
      </c>
      <c r="R337" s="141" t="s">
        <v>628</v>
      </c>
      <c r="S337" s="173" t="s">
        <v>237</v>
      </c>
      <c r="T337" s="173" t="s">
        <v>152</v>
      </c>
      <c r="U337" s="173" t="s">
        <v>153</v>
      </c>
      <c r="V337" s="173" t="str">
        <f t="shared" ref="V337:V341" si="145">IF(AND(T337=$FS$2,U337=$FT$2),"50%",IF(AND(T337=$FS$2,U337=$FT$3),"40%",IF(AND(T337=$FS$3,U337=$FT$2),"40%",IF(AND(T337=$FS$3,U337=$FT$3),"30%",IF(AND(T337=$FS$4,U337=$FT$2),"35%",IF(AND(T337=$FS$4,U337=$FT$3),"25%",""))))))</f>
        <v>40%</v>
      </c>
      <c r="W337" s="173" t="s">
        <v>154</v>
      </c>
      <c r="X337" s="173" t="s">
        <v>155</v>
      </c>
      <c r="Y337" s="173" t="s">
        <v>156</v>
      </c>
      <c r="Z337" s="144">
        <f>IFERROR(IF(AND(S336="Probabilidad",S337="Probabilidad"),(Z336-(+Z336*V337)),IF(S337="Probabilidad",(L336-(+L336*V337)),IF(S337="Impacto",Z336,""))),"")</f>
        <v>0.36</v>
      </c>
      <c r="AA337" s="607"/>
      <c r="AB337" s="605"/>
      <c r="AC337" s="435"/>
      <c r="AD337" s="605" t="str">
        <f>IFERROR(IF(AND(S336="Impacto",V337="Impacto"),(AD336-(+AD336*V337)),IF(S337="Impacto",(O336-(+O336*V337)),IF(S337="Probabilidad",AD336,""))),"")</f>
        <v>40%</v>
      </c>
      <c r="AE337" s="607"/>
      <c r="AF337" s="605"/>
      <c r="AG337" s="435"/>
      <c r="AH337" s="435"/>
      <c r="AI337" s="435"/>
      <c r="AJ337" s="188"/>
      <c r="AK337" s="188"/>
      <c r="AL337" s="98"/>
      <c r="AM337" s="98"/>
      <c r="AN337" s="188"/>
      <c r="AO337" s="188"/>
      <c r="AP337" s="497"/>
      <c r="AQ337" s="537"/>
      <c r="AR337" s="183"/>
      <c r="AS337" s="183"/>
      <c r="AT337" s="183"/>
      <c r="AU337" s="183"/>
      <c r="AV337" s="183"/>
      <c r="AW337" s="183"/>
      <c r="FM337" s="89"/>
      <c r="FP337" s="87"/>
    </row>
    <row r="338" spans="1:181" s="78" customFormat="1" ht="14.25" customHeight="1" x14ac:dyDescent="0.25">
      <c r="A338" s="325"/>
      <c r="B338" s="126" t="s">
        <v>582</v>
      </c>
      <c r="C338" s="325"/>
      <c r="D338" s="325"/>
      <c r="E338" s="325"/>
      <c r="F338" s="524"/>
      <c r="G338" s="325"/>
      <c r="H338" s="325"/>
      <c r="I338" s="493"/>
      <c r="J338" s="493"/>
      <c r="K338" s="435"/>
      <c r="L338" s="435"/>
      <c r="M338" s="435"/>
      <c r="N338" s="435"/>
      <c r="O338" s="606"/>
      <c r="P338" s="435"/>
      <c r="Q338" s="611"/>
      <c r="R338" s="141"/>
      <c r="S338" s="173"/>
      <c r="T338" s="173"/>
      <c r="U338" s="173"/>
      <c r="V338" s="173" t="str">
        <f t="shared" si="145"/>
        <v/>
      </c>
      <c r="W338" s="173"/>
      <c r="X338" s="173"/>
      <c r="Y338" s="173"/>
      <c r="Z338" s="144" t="str">
        <f>IFERROR(IF(AND(S337="Probabilidad",S338="Probabilidad"),(Z337-(+Z337*V338)),IF(S338="Probabilidad",(L337-(+L337*V338)),IF(S338="Impacto",Z337,""))),"")</f>
        <v/>
      </c>
      <c r="AA338" s="607"/>
      <c r="AB338" s="605"/>
      <c r="AC338" s="435"/>
      <c r="AD338" s="605" t="str">
        <f t="shared" ref="AD338:AD341" si="146">IFERROR(IF(AND(S337="Impacto",V338="Impacto"),(AD337-(+AD337*V338)),IF(S338="Impacto",(O337-(+O337*V338)),IF(S338="Probabilidad",AD337,""))),"")</f>
        <v/>
      </c>
      <c r="AE338" s="607"/>
      <c r="AF338" s="605"/>
      <c r="AG338" s="435"/>
      <c r="AH338" s="435"/>
      <c r="AI338" s="435"/>
      <c r="AJ338" s="188"/>
      <c r="AK338" s="188"/>
      <c r="AL338" s="98"/>
      <c r="AM338" s="98"/>
      <c r="AN338" s="188"/>
      <c r="AO338" s="188"/>
      <c r="AP338" s="497"/>
      <c r="AQ338" s="537"/>
      <c r="AR338" s="183"/>
      <c r="AS338" s="183"/>
      <c r="AT338" s="183"/>
      <c r="AU338" s="183"/>
      <c r="AV338" s="183"/>
      <c r="AW338" s="183"/>
      <c r="FM338" s="89"/>
    </row>
    <row r="339" spans="1:181" s="78" customFormat="1" ht="14.25" customHeight="1" x14ac:dyDescent="0.25">
      <c r="A339" s="325"/>
      <c r="B339" s="126" t="s">
        <v>582</v>
      </c>
      <c r="C339" s="325"/>
      <c r="D339" s="325"/>
      <c r="E339" s="325"/>
      <c r="F339" s="524"/>
      <c r="G339" s="325"/>
      <c r="H339" s="325"/>
      <c r="I339" s="493"/>
      <c r="J339" s="493"/>
      <c r="K339" s="435"/>
      <c r="L339" s="435"/>
      <c r="M339" s="435"/>
      <c r="N339" s="435"/>
      <c r="O339" s="606"/>
      <c r="P339" s="435"/>
      <c r="Q339" s="611"/>
      <c r="R339" s="141"/>
      <c r="S339" s="173"/>
      <c r="T339" s="173"/>
      <c r="U339" s="173"/>
      <c r="V339" s="173" t="str">
        <f t="shared" si="145"/>
        <v/>
      </c>
      <c r="W339" s="173"/>
      <c r="X339" s="173"/>
      <c r="Y339" s="173"/>
      <c r="Z339" s="144" t="str">
        <f>IFERROR(IF(AND(S338="Probabilidad",S339="Probabilidad"),(Z338-(+Z338*V339)),IF(S339="Probabilidad",(L338-(+L338*V339)),IF(S339="Impacto",Z338,""))),"")</f>
        <v/>
      </c>
      <c r="AA339" s="607"/>
      <c r="AB339" s="605"/>
      <c r="AC339" s="435"/>
      <c r="AD339" s="605" t="str">
        <f t="shared" si="146"/>
        <v/>
      </c>
      <c r="AE339" s="607"/>
      <c r="AF339" s="605"/>
      <c r="AG339" s="435"/>
      <c r="AH339" s="435"/>
      <c r="AI339" s="435"/>
      <c r="AJ339" s="188"/>
      <c r="AK339" s="188"/>
      <c r="AL339" s="98"/>
      <c r="AM339" s="98"/>
      <c r="AN339" s="188"/>
      <c r="AO339" s="188"/>
      <c r="AP339" s="497"/>
      <c r="AQ339" s="537"/>
      <c r="AR339" s="183"/>
      <c r="AS339" s="183"/>
      <c r="AT339" s="183"/>
      <c r="AU339" s="183"/>
      <c r="AV339" s="183"/>
      <c r="AW339" s="183"/>
      <c r="FM339" s="89"/>
    </row>
    <row r="340" spans="1:181" s="78" customFormat="1" ht="14.25" customHeight="1" x14ac:dyDescent="0.25">
      <c r="A340" s="325"/>
      <c r="B340" s="126" t="s">
        <v>582</v>
      </c>
      <c r="C340" s="325"/>
      <c r="D340" s="325"/>
      <c r="E340" s="325"/>
      <c r="F340" s="524"/>
      <c r="G340" s="325"/>
      <c r="H340" s="325"/>
      <c r="I340" s="493"/>
      <c r="J340" s="493"/>
      <c r="K340" s="435"/>
      <c r="L340" s="435"/>
      <c r="M340" s="435"/>
      <c r="N340" s="435"/>
      <c r="O340" s="606"/>
      <c r="P340" s="435"/>
      <c r="Q340" s="611"/>
      <c r="R340" s="141"/>
      <c r="S340" s="173"/>
      <c r="T340" s="173"/>
      <c r="U340" s="173"/>
      <c r="V340" s="173" t="str">
        <f t="shared" si="145"/>
        <v/>
      </c>
      <c r="W340" s="173"/>
      <c r="X340" s="173"/>
      <c r="Y340" s="173"/>
      <c r="Z340" s="144" t="str">
        <f>IFERROR(IF(AND(S339="Probabilidad",S340="Probabilidad"),(Z339-(+Z339*V340)),IF(S340="Probabilidad",(L339-(+L339*V340)),IF(S340="Impacto",Z339,""))),"")</f>
        <v/>
      </c>
      <c r="AA340" s="607"/>
      <c r="AB340" s="605"/>
      <c r="AC340" s="435"/>
      <c r="AD340" s="605" t="str">
        <f t="shared" si="146"/>
        <v/>
      </c>
      <c r="AE340" s="607"/>
      <c r="AF340" s="605"/>
      <c r="AG340" s="435"/>
      <c r="AH340" s="435"/>
      <c r="AI340" s="435"/>
      <c r="AJ340" s="188"/>
      <c r="AK340" s="188"/>
      <c r="AL340" s="98"/>
      <c r="AM340" s="98"/>
      <c r="AN340" s="188"/>
      <c r="AO340" s="188"/>
      <c r="AP340" s="497"/>
      <c r="AQ340" s="537"/>
      <c r="AR340" s="183"/>
      <c r="AS340" s="183"/>
      <c r="AT340" s="183"/>
      <c r="AU340" s="183"/>
      <c r="AV340" s="183"/>
      <c r="AW340" s="183"/>
      <c r="FM340" s="89"/>
    </row>
    <row r="341" spans="1:181" s="78" customFormat="1" ht="14.25" customHeight="1" thickBot="1" x14ac:dyDescent="0.25">
      <c r="A341" s="459"/>
      <c r="B341" s="126" t="s">
        <v>582</v>
      </c>
      <c r="C341" s="459"/>
      <c r="D341" s="459"/>
      <c r="E341" s="459"/>
      <c r="F341" s="525"/>
      <c r="G341" s="459"/>
      <c r="H341" s="445"/>
      <c r="I341" s="502"/>
      <c r="J341" s="502"/>
      <c r="K341" s="513"/>
      <c r="L341" s="513"/>
      <c r="M341" s="513"/>
      <c r="N341" s="513"/>
      <c r="O341" s="623"/>
      <c r="P341" s="513"/>
      <c r="Q341" s="611"/>
      <c r="R341" s="141"/>
      <c r="S341" s="173"/>
      <c r="T341" s="173"/>
      <c r="U341" s="173"/>
      <c r="V341" s="173" t="str">
        <f t="shared" si="145"/>
        <v/>
      </c>
      <c r="W341" s="173"/>
      <c r="X341" s="173"/>
      <c r="Y341" s="173"/>
      <c r="Z341" s="144" t="str">
        <f>IFERROR(IF(AND(S340="Probabilidad",S341="Probabilidad"),(Z340-(+Z340*V341)),IF(S341="Probabilidad",(L340-(+L340*V341)),IF(S341="Impacto",Z340,""))),"")</f>
        <v/>
      </c>
      <c r="AA341" s="624"/>
      <c r="AB341" s="605"/>
      <c r="AC341" s="513"/>
      <c r="AD341" s="605" t="str">
        <f t="shared" si="146"/>
        <v/>
      </c>
      <c r="AE341" s="624"/>
      <c r="AF341" s="605"/>
      <c r="AG341" s="513"/>
      <c r="AH341" s="513"/>
      <c r="AI341" s="513"/>
      <c r="AJ341" s="188"/>
      <c r="AK341" s="188"/>
      <c r="AL341" s="98"/>
      <c r="AM341" s="98"/>
      <c r="AN341" s="188"/>
      <c r="AO341" s="188"/>
      <c r="AP341" s="498"/>
      <c r="AQ341" s="538"/>
      <c r="AR341" s="183"/>
      <c r="AS341" s="183"/>
      <c r="AT341" s="183"/>
      <c r="AU341" s="183"/>
      <c r="AV341" s="183"/>
      <c r="AW341" s="183"/>
      <c r="FM341" s="90"/>
      <c r="FN341" s="87"/>
      <c r="FO341" s="87"/>
      <c r="FQ341" s="87"/>
      <c r="FR341" s="87"/>
      <c r="FS341" s="87"/>
      <c r="FT341" s="87"/>
      <c r="FU341" s="87"/>
      <c r="FV341" s="87"/>
      <c r="FW341" s="87"/>
      <c r="FX341" s="87"/>
      <c r="FY341" s="87"/>
    </row>
    <row r="342" spans="1:181" s="78" customFormat="1" ht="13.5" customHeight="1" x14ac:dyDescent="0.2">
      <c r="A342" s="446">
        <v>63</v>
      </c>
      <c r="B342" s="126" t="s">
        <v>633</v>
      </c>
      <c r="C342" s="444" t="s">
        <v>233</v>
      </c>
      <c r="D342" s="440" t="s">
        <v>852</v>
      </c>
      <c r="E342" s="440" t="s">
        <v>634</v>
      </c>
      <c r="F342" s="440" t="s">
        <v>853</v>
      </c>
      <c r="G342" s="437" t="s">
        <v>149</v>
      </c>
      <c r="H342" s="199" t="s">
        <v>150</v>
      </c>
      <c r="I342" s="496" t="s">
        <v>635</v>
      </c>
      <c r="J342" s="496">
        <f>20*12</f>
        <v>240</v>
      </c>
      <c r="K342" s="496" t="str">
        <f>IF(AND(J342&lt;=2),"Muy Baja",IF(AND(J342&gt;=3,J342&lt;=23),"Baja",IF(AND(J342&gt;=24,J342&lt;=499),"Media",IF(AND(J342&gt;=500,J342&lt;=4999),"Alta",IF(AND(J342&gt;=5000),"Muy Alta",FALSE)))))</f>
        <v>Media</v>
      </c>
      <c r="L342" s="496" t="str">
        <f>IF(AND(J342&lt;=2),"20%",IF(AND(J342&gt;=3,J342&lt;=23),"40%",IF(AND(J342&gt;=24,J342&lt;=499),"60%",IF(AND(J342&gt;=500,J342&lt;=4999),"80%",IF(AND(J342&gt;=5000),"100%",FALSE)))))</f>
        <v>60%</v>
      </c>
      <c r="M342" s="496" t="s">
        <v>162</v>
      </c>
      <c r="N342" s="496" t="str">
        <f>IF(AND(M342=$FQ$4),"Leve",IF(AND(M342=$FQ$5),"Menor",IF(AND(M342=$FQ$6),"Moderado",IF(AND(M342=$FQ$7),"mayor",IF(AND(M342=$FQ$8),"Catastrófico",IF(AND(M342=$FQ$10),"Leve",IF(AND(M342=$FQ$11),"Menor",IF(AND(M342=$FQ$12),"Moderado",IF(AND(M342=$FQ$13),"Mayor",IF(AND(M342=$FQ$14),"Catastrófico",FALSE))))))))))</f>
        <v>Moderado</v>
      </c>
      <c r="O342" s="509" t="str">
        <f>IF(AND(N342="Leve"),"20%",IF(AND(N342="Menor"),"40%",IF(AND(N342="Moderado"),"60%",IF(AND(N342="Mayor"),"80%",IF(AND(N342="Catastrófico"),"100%","")))))</f>
        <v>60%</v>
      </c>
      <c r="P342" s="496" t="str">
        <f>INDEX('[8]MATRIZ RIESGO'!$D$6:$H$10,MATCH(K342,'[8]MATRIZ RIESGO'!$C$6:$C$10,),MATCH(N342,'[8]MATRIZ RIESGO'!$D$5:$H$5,))</f>
        <v>Moderado</v>
      </c>
      <c r="Q342" s="572">
        <v>1</v>
      </c>
      <c r="R342" s="130" t="s">
        <v>636</v>
      </c>
      <c r="S342" s="178" t="s">
        <v>237</v>
      </c>
      <c r="T342" s="178" t="s">
        <v>152</v>
      </c>
      <c r="U342" s="178" t="s">
        <v>153</v>
      </c>
      <c r="V342" s="178" t="str">
        <f>IF(AND(T342=$FS$2,U342=$FT$2),"50%",IF(AND(T342=$FS$2,U342=$FT$3),"40%",IF(AND(T342=$FS$3,U342=$FT$2),"40%",IF(AND(T342=$FS$3,U342=$FT$3),"30%",IF(AND(T342=$FS$4,U342=$FT$2),"35%",IF(AND(T342=$FS$4,U342=$FT$3),"25%",""))))))</f>
        <v>40%</v>
      </c>
      <c r="W342" s="178" t="s">
        <v>154</v>
      </c>
      <c r="X342" s="178" t="s">
        <v>155</v>
      </c>
      <c r="Y342" s="178" t="s">
        <v>156</v>
      </c>
      <c r="Z342" s="131">
        <f>IFERROR(IF(S342="Probabilidad",(L342-(+L342*V342)),IF(S342="Impacto",L342,"")),"")</f>
        <v>0.36</v>
      </c>
      <c r="AA342" s="218">
        <f>LOOKUP(2,1/(Z342:Z347&lt;&gt;""),Z342:Z347)</f>
        <v>0.216</v>
      </c>
      <c r="AB342" s="218">
        <f>AA342*1</f>
        <v>0.216</v>
      </c>
      <c r="AC342" s="496" t="str">
        <f>IF(AND(AB342&lt;=20%),"Muy Baja",IF(AND(AB342&gt;=21%,AB342&lt;=40%),"Baja",IF(AND(AB342&gt;=41%,AB342&lt;=60%),"Media",IF(AND(AB342&gt;=61%,AB342&lt;=80%),"Alta",IF(AND(AB342&gt;=81%,AB342&gt;=100%),"Muy Alta",FALSE)))))</f>
        <v>Baja</v>
      </c>
      <c r="AD342" s="182" t="str">
        <f>IFERROR(IF(S342="Impacto",(O342-(+O342*V342)),IF(S342="Probabilidad",O342,"")),"")</f>
        <v>60%</v>
      </c>
      <c r="AE342" s="218" t="str">
        <f>LOOKUP(2,1/(AD342:AD347&lt;&gt;""),AD342:AD347)</f>
        <v>60%</v>
      </c>
      <c r="AF342" s="218">
        <f>AE342*1</f>
        <v>0.6</v>
      </c>
      <c r="AG342" s="496" t="str">
        <f>CHOOSE((AF342&gt;=0%)+(AF342&gt;=21%)+(AF342&gt;=41%)+(AF342&gt;=61%)+(AF342&gt;=81%),"Leve","Menor","Moderado","Mayor","Catastrófico")</f>
        <v>Moderado</v>
      </c>
      <c r="AH342" s="496" t="str">
        <f>INDEX('[8]MATRIZ RIESGO'!$D$6:$H$10,MATCH(AC342,'[8]MATRIZ RIESGO'!$C$6:$C$10,),MATCH(AG342,'[8]MATRIZ RIESGO'!$D$5:$H$5,))</f>
        <v>Moderado</v>
      </c>
      <c r="AI342" s="496" t="s">
        <v>111</v>
      </c>
      <c r="AJ342" s="421"/>
      <c r="AK342" s="421"/>
      <c r="AL342" s="422"/>
      <c r="AM342" s="422"/>
      <c r="AN342" s="423"/>
      <c r="AO342" s="424"/>
      <c r="AP342" s="496" t="s">
        <v>637</v>
      </c>
      <c r="AQ342" s="539" t="s">
        <v>113</v>
      </c>
      <c r="FM342" s="89"/>
      <c r="FP342" s="78" t="s">
        <v>255</v>
      </c>
      <c r="FQ342" s="80" t="s">
        <v>256</v>
      </c>
    </row>
    <row r="343" spans="1:181" s="78" customFormat="1" ht="13.5" customHeight="1" x14ac:dyDescent="0.2">
      <c r="A343" s="447"/>
      <c r="B343" s="126" t="s">
        <v>633</v>
      </c>
      <c r="C343" s="325"/>
      <c r="D343" s="441"/>
      <c r="E343" s="441"/>
      <c r="F343" s="441"/>
      <c r="G343" s="438"/>
      <c r="H343" s="200"/>
      <c r="I343" s="497"/>
      <c r="J343" s="497"/>
      <c r="K343" s="497"/>
      <c r="L343" s="497"/>
      <c r="M343" s="497"/>
      <c r="N343" s="497"/>
      <c r="O343" s="510"/>
      <c r="P343" s="497"/>
      <c r="Q343" s="572">
        <v>2</v>
      </c>
      <c r="R343" s="130" t="s">
        <v>854</v>
      </c>
      <c r="S343" s="178" t="s">
        <v>237</v>
      </c>
      <c r="T343" s="178" t="s">
        <v>152</v>
      </c>
      <c r="U343" s="178" t="s">
        <v>153</v>
      </c>
      <c r="V343" s="178" t="str">
        <f t="shared" ref="V343:V347" si="147">IF(AND(T343=$FS$2,U343=$FT$2),"50%",IF(AND(T343=$FS$2,U343=$FT$3),"40%",IF(AND(T343=$FS$3,U343=$FT$2),"40%",IF(AND(T343=$FS$3,U343=$FT$3),"30%",IF(AND(T343=$FS$4,U343=$FT$2),"35%",IF(AND(T343=$FS$4,U343=$FT$3),"25%",""))))))</f>
        <v>40%</v>
      </c>
      <c r="W343" s="178" t="s">
        <v>154</v>
      </c>
      <c r="X343" s="178" t="s">
        <v>155</v>
      </c>
      <c r="Y343" s="178" t="s">
        <v>156</v>
      </c>
      <c r="Z343" s="131">
        <f>IFERROR(IF(AND(S342="Probabilidad",S343="Probabilidad"),(Z342-(+Z342*V343)),IF(S343="Probabilidad",(L342-(+L342*V343)),IF(S343="Impacto",Z342,""))),"")</f>
        <v>0.216</v>
      </c>
      <c r="AA343" s="219"/>
      <c r="AB343" s="219"/>
      <c r="AC343" s="497"/>
      <c r="AD343" s="182" t="str">
        <f>IFERROR(IF(AND(S342="Impacto",V343="Impacto"),(AD342-(+AD342*V343)),IF(S343="Impacto",(O342-(+O342*V343)),IF(S343="Probabilidad",AD342,""))),"")</f>
        <v>60%</v>
      </c>
      <c r="AE343" s="219"/>
      <c r="AF343" s="219"/>
      <c r="AG343" s="497"/>
      <c r="AH343" s="497"/>
      <c r="AI343" s="497"/>
      <c r="AJ343" s="172"/>
      <c r="AK343" s="172"/>
      <c r="AL343" s="163"/>
      <c r="AM343" s="172"/>
      <c r="AN343" s="172"/>
      <c r="AO343" s="172"/>
      <c r="AP343" s="497"/>
      <c r="AQ343" s="537"/>
      <c r="FM343" s="89"/>
      <c r="FP343" s="78" t="s">
        <v>196</v>
      </c>
      <c r="FQ343" s="87" t="s">
        <v>158</v>
      </c>
    </row>
    <row r="344" spans="1:181" s="78" customFormat="1" ht="13.5" customHeight="1" x14ac:dyDescent="0.2">
      <c r="A344" s="447"/>
      <c r="B344" s="126" t="s">
        <v>633</v>
      </c>
      <c r="C344" s="325"/>
      <c r="D344" s="441"/>
      <c r="E344" s="441"/>
      <c r="F344" s="441"/>
      <c r="G344" s="438"/>
      <c r="H344" s="200"/>
      <c r="I344" s="497"/>
      <c r="J344" s="497"/>
      <c r="K344" s="497"/>
      <c r="L344" s="497"/>
      <c r="M344" s="497"/>
      <c r="N344" s="497"/>
      <c r="O344" s="510"/>
      <c r="P344" s="497"/>
      <c r="Q344" s="572"/>
      <c r="R344" s="130"/>
      <c r="S344" s="178"/>
      <c r="T344" s="178"/>
      <c r="U344" s="178"/>
      <c r="V344" s="178" t="str">
        <f t="shared" si="147"/>
        <v/>
      </c>
      <c r="W344" s="178"/>
      <c r="X344" s="178"/>
      <c r="Y344" s="178"/>
      <c r="Z344" s="131" t="str">
        <f>IFERROR(IF(AND(S343="Probabilidad",S344="Probabilidad"),(Z343-(+Z343*V344)),IF(S344="Probabilidad",(L343-(+L343*V344)),IF(S344="Impacto",Z343,""))),"")</f>
        <v/>
      </c>
      <c r="AA344" s="219"/>
      <c r="AB344" s="219"/>
      <c r="AC344" s="497"/>
      <c r="AD344" s="182" t="str">
        <f t="shared" ref="AD344:AD347" si="148">IFERROR(IF(AND(S343="Impacto",V344="Impacto"),(AD343-(+AD343*V344)),IF(S344="Impacto",(O343-(+O343*V344)),IF(S344="Probabilidad",AD343,""))),"")</f>
        <v/>
      </c>
      <c r="AE344" s="219"/>
      <c r="AF344" s="219"/>
      <c r="AG344" s="497"/>
      <c r="AH344" s="497"/>
      <c r="AI344" s="497"/>
      <c r="AJ344" s="172"/>
      <c r="AK344" s="172"/>
      <c r="AL344" s="163"/>
      <c r="AM344" s="172"/>
      <c r="AN344" s="172"/>
      <c r="AO344" s="172"/>
      <c r="AP344" s="497"/>
      <c r="AQ344" s="537"/>
      <c r="FM344" s="89"/>
      <c r="FQ344" s="87" t="s">
        <v>160</v>
      </c>
    </row>
    <row r="345" spans="1:181" s="78" customFormat="1" ht="13.5" customHeight="1" x14ac:dyDescent="0.2">
      <c r="A345" s="447"/>
      <c r="B345" s="126" t="s">
        <v>633</v>
      </c>
      <c r="C345" s="325"/>
      <c r="D345" s="441"/>
      <c r="E345" s="441"/>
      <c r="F345" s="441"/>
      <c r="G345" s="438"/>
      <c r="H345" s="200"/>
      <c r="I345" s="497"/>
      <c r="J345" s="497"/>
      <c r="K345" s="497"/>
      <c r="L345" s="497"/>
      <c r="M345" s="497"/>
      <c r="N345" s="497"/>
      <c r="O345" s="510"/>
      <c r="P345" s="497"/>
      <c r="Q345" s="572"/>
      <c r="R345" s="130"/>
      <c r="S345" s="178"/>
      <c r="T345" s="178"/>
      <c r="U345" s="178"/>
      <c r="V345" s="178" t="str">
        <f t="shared" si="147"/>
        <v/>
      </c>
      <c r="W345" s="178"/>
      <c r="X345" s="178"/>
      <c r="Y345" s="178"/>
      <c r="Z345" s="131" t="str">
        <f>IFERROR(IF(AND(S344="Probabilidad",S345="Probabilidad"),(Z344-(+Z344*V345)),IF(S345="Probabilidad",(L344-(+L344*V345)),IF(S345="Impacto",Z344,""))),"")</f>
        <v/>
      </c>
      <c r="AA345" s="219"/>
      <c r="AB345" s="219"/>
      <c r="AC345" s="497"/>
      <c r="AD345" s="182" t="str">
        <f t="shared" si="148"/>
        <v/>
      </c>
      <c r="AE345" s="219"/>
      <c r="AF345" s="219"/>
      <c r="AG345" s="497"/>
      <c r="AH345" s="497"/>
      <c r="AI345" s="497"/>
      <c r="AJ345" s="172"/>
      <c r="AK345" s="172"/>
      <c r="AL345" s="163"/>
      <c r="AM345" s="172"/>
      <c r="AN345" s="172"/>
      <c r="AO345" s="172"/>
      <c r="AP345" s="497"/>
      <c r="AQ345" s="537"/>
      <c r="FM345" s="89"/>
      <c r="FQ345" s="87" t="s">
        <v>162</v>
      </c>
    </row>
    <row r="346" spans="1:181" s="78" customFormat="1" ht="13.5" customHeight="1" x14ac:dyDescent="0.2">
      <c r="A346" s="447"/>
      <c r="B346" s="126" t="s">
        <v>633</v>
      </c>
      <c r="C346" s="325"/>
      <c r="D346" s="441"/>
      <c r="E346" s="441"/>
      <c r="F346" s="441"/>
      <c r="G346" s="438"/>
      <c r="H346" s="200"/>
      <c r="I346" s="497"/>
      <c r="J346" s="497"/>
      <c r="K346" s="497"/>
      <c r="L346" s="497"/>
      <c r="M346" s="497"/>
      <c r="N346" s="497"/>
      <c r="O346" s="510"/>
      <c r="P346" s="497"/>
      <c r="Q346" s="572"/>
      <c r="R346" s="130"/>
      <c r="S346" s="178"/>
      <c r="T346" s="178"/>
      <c r="U346" s="178"/>
      <c r="V346" s="178" t="str">
        <f t="shared" si="147"/>
        <v/>
      </c>
      <c r="W346" s="178"/>
      <c r="X346" s="178"/>
      <c r="Y346" s="178"/>
      <c r="Z346" s="131" t="str">
        <f>IFERROR(IF(AND(S345="Probabilidad",S346="Probabilidad"),(Z345-(+Z345*V346)),IF(S346="Probabilidad",(L345-(+L345*V346)),IF(S346="Impacto",Z345,""))),"")</f>
        <v/>
      </c>
      <c r="AA346" s="219"/>
      <c r="AB346" s="219"/>
      <c r="AC346" s="497"/>
      <c r="AD346" s="182" t="str">
        <f t="shared" si="148"/>
        <v/>
      </c>
      <c r="AE346" s="219"/>
      <c r="AF346" s="219"/>
      <c r="AG346" s="497"/>
      <c r="AH346" s="497"/>
      <c r="AI346" s="497"/>
      <c r="AJ346" s="172"/>
      <c r="AK346" s="172"/>
      <c r="AL346" s="163"/>
      <c r="AM346" s="172"/>
      <c r="AN346" s="172"/>
      <c r="AO346" s="172"/>
      <c r="AP346" s="497"/>
      <c r="AQ346" s="537"/>
      <c r="FM346" s="89"/>
      <c r="FQ346" s="87" t="s">
        <v>257</v>
      </c>
    </row>
    <row r="347" spans="1:181" s="78" customFormat="1" ht="13.5" customHeight="1" x14ac:dyDescent="0.2">
      <c r="A347" s="460"/>
      <c r="B347" s="126" t="s">
        <v>633</v>
      </c>
      <c r="C347" s="459"/>
      <c r="D347" s="458"/>
      <c r="E347" s="458"/>
      <c r="F347" s="458"/>
      <c r="G347" s="457"/>
      <c r="H347" s="201"/>
      <c r="I347" s="498"/>
      <c r="J347" s="498"/>
      <c r="K347" s="498"/>
      <c r="L347" s="498"/>
      <c r="M347" s="498"/>
      <c r="N347" s="498"/>
      <c r="O347" s="511"/>
      <c r="P347" s="498"/>
      <c r="Q347" s="572"/>
      <c r="R347" s="130"/>
      <c r="S347" s="178"/>
      <c r="T347" s="178"/>
      <c r="U347" s="178"/>
      <c r="V347" s="178" t="str">
        <f t="shared" si="147"/>
        <v/>
      </c>
      <c r="W347" s="178"/>
      <c r="X347" s="178"/>
      <c r="Y347" s="178"/>
      <c r="Z347" s="131" t="str">
        <f>IFERROR(IF(AND(S346="Probabilidad",S347="Probabilidad"),(Z346-(+Z346*V347)),IF(S347="Probabilidad",(L346-(+L346*V347)),IF(S347="Impacto",Z346,""))),"")</f>
        <v/>
      </c>
      <c r="AA347" s="220"/>
      <c r="AB347" s="220"/>
      <c r="AC347" s="498"/>
      <c r="AD347" s="182" t="str">
        <f t="shared" si="148"/>
        <v/>
      </c>
      <c r="AE347" s="220"/>
      <c r="AF347" s="220"/>
      <c r="AG347" s="498"/>
      <c r="AH347" s="498"/>
      <c r="AI347" s="498"/>
      <c r="AJ347" s="172"/>
      <c r="AK347" s="172"/>
      <c r="AL347" s="163"/>
      <c r="AM347" s="172"/>
      <c r="AN347" s="172"/>
      <c r="AO347" s="172"/>
      <c r="AP347" s="498"/>
      <c r="AQ347" s="538"/>
      <c r="FM347" s="89"/>
      <c r="FQ347" s="87" t="s">
        <v>170</v>
      </c>
    </row>
    <row r="348" spans="1:181" s="78" customFormat="1" ht="13.5" customHeight="1" x14ac:dyDescent="0.25">
      <c r="A348" s="446">
        <v>64</v>
      </c>
      <c r="B348" s="126" t="s">
        <v>633</v>
      </c>
      <c r="C348" s="444" t="s">
        <v>260</v>
      </c>
      <c r="D348" s="440" t="s">
        <v>638</v>
      </c>
      <c r="E348" s="440" t="s">
        <v>639</v>
      </c>
      <c r="F348" s="440" t="s">
        <v>640</v>
      </c>
      <c r="G348" s="437" t="s">
        <v>149</v>
      </c>
      <c r="H348" s="199" t="s">
        <v>150</v>
      </c>
      <c r="I348" s="496" t="s">
        <v>151</v>
      </c>
      <c r="J348" s="496">
        <v>34</v>
      </c>
      <c r="K348" s="496" t="str">
        <f>IF(AND(J348&lt;=2),"Muy Baja",IF(AND(J348&gt;=3,J348&lt;=23),"Baja",IF(AND(J348&gt;=24,J348&lt;=499),"Media",IF(AND(J348&gt;=500,J348&lt;=4999),"Alta",IF(AND(J348&gt;=5000),"Muy Alta",FALSE)))))</f>
        <v>Media</v>
      </c>
      <c r="L348" s="496" t="str">
        <f>IF(AND(J348&lt;=2),"20%",IF(AND(J348&gt;=3,J348&lt;=23),"40%",IF(AND(J348&gt;=24,J348&lt;=499),"60%",IF(AND(J348&gt;=500,J348&lt;=4999),"80%",IF(AND(J348&gt;=5000),"100%",FALSE)))))</f>
        <v>60%</v>
      </c>
      <c r="M348" s="496" t="s">
        <v>257</v>
      </c>
      <c r="N348" s="496" t="str">
        <f>IF(AND(M348=$FQ$4),"Leve",IF(AND(M348=$FQ$5),"Menor",IF(AND(M348=$FQ$6),"Moderado",IF(AND(M348=$FQ$7),"mayor",IF(AND(M348=$FQ$8),"Catastrófico",IF(AND(M348=$FQ$10),"Leve",IF(AND(M348=$FQ$11),"Menor",IF(AND(M348=$FQ$12),"Moderado",IF(AND(M348=$FQ$13),"Mayor",IF(AND(M348=$FQ$14),"Catastrófico",FALSE))))))))))</f>
        <v>Mayor</v>
      </c>
      <c r="O348" s="509" t="str">
        <f>IF(AND(N348="Leve"),"20%",IF(AND(N348="Menor"),"40%",IF(AND(N348="Moderado"),"60%",IF(AND(N348="Mayor"),"80%",IF(AND(N348="Catastrófico"),"100%","")))))</f>
        <v>80%</v>
      </c>
      <c r="P348" s="496" t="str">
        <f>INDEX('[8]MATRIZ RIESGO'!$D$6:$H$10,MATCH(K348,'[8]MATRIZ RIESGO'!$C$6:$C$10,),MATCH(N348,'[8]MATRIZ RIESGO'!$D$5:$H$5,))</f>
        <v>Alto</v>
      </c>
      <c r="Q348" s="572">
        <v>1</v>
      </c>
      <c r="R348" s="130" t="s">
        <v>641</v>
      </c>
      <c r="S348" s="178" t="s">
        <v>242</v>
      </c>
      <c r="T348" s="178" t="s">
        <v>174</v>
      </c>
      <c r="U348" s="178" t="s">
        <v>153</v>
      </c>
      <c r="V348" s="178" t="str">
        <f>IF(AND(T348=$FS$2,U348=$FT$2),"50%",IF(AND(T348=$FS$2,U348=$FT$3),"40%",IF(AND(T348=$FS$3,U348=$FT$2),"40%",IF(AND(T348=$FS$3,U348=$FT$3),"30%",IF(AND(T348=$FS$4,U348=$FT$2),"35%",IF(AND(T348=$FS$4,U348=$FT$3),"25%",""))))))</f>
        <v>25%</v>
      </c>
      <c r="W348" s="178" t="s">
        <v>154</v>
      </c>
      <c r="X348" s="178" t="s">
        <v>155</v>
      </c>
      <c r="Y348" s="178" t="s">
        <v>156</v>
      </c>
      <c r="Z348" s="131" t="str">
        <f>IFERROR(IF(S348="Probabilidad",(L348-(+L348*V348)),IF(S348="Impacto",L348,"")),"")</f>
        <v>60%</v>
      </c>
      <c r="AA348" s="218" t="str">
        <f>LOOKUP(2,1/(Z348:Z353&lt;&gt;""),Z348:Z353)</f>
        <v>60%</v>
      </c>
      <c r="AB348" s="218">
        <f t="shared" ref="AB348" si="149">AA348*1</f>
        <v>0.6</v>
      </c>
      <c r="AC348" s="496" t="str">
        <f t="shared" ref="AC348" si="150">IF(AND(AB348&lt;=20%),"Muy Baja",IF(AND(AB348&gt;=21%,AB348&lt;=40%),"Baja",IF(AND(AB348&gt;=41%,AB348&lt;=60%),"Media",IF(AND(AB348&gt;=61%,AB348&lt;=80%),"Alta",IF(AND(AB348&gt;=81%,AB348&gt;=100%),"Muy Alta",FALSE)))))</f>
        <v>Media</v>
      </c>
      <c r="AD348" s="182">
        <f>IFERROR(IF(S348="Impacto",(O348-(+O348*V348)),IF(S348="Probabilidad",O348,"")),"")</f>
        <v>0.60000000000000009</v>
      </c>
      <c r="AE348" s="218">
        <f>LOOKUP(2,1/(AD348:AD353&lt;&gt;""),AD348:AD353)</f>
        <v>0.60000000000000009</v>
      </c>
      <c r="AF348" s="218">
        <f>AE348*1</f>
        <v>0.60000000000000009</v>
      </c>
      <c r="AG348" s="496" t="str">
        <f t="shared" ref="AG348" si="151">CHOOSE((AF348&gt;=0%)+(AF348&gt;=21%)+(AF348&gt;=41%)+(AF348&gt;=61%)+(AF348&gt;=81%),"Leve","Menor","Moderado","Mayor","Catastrófico")</f>
        <v>Moderado</v>
      </c>
      <c r="AH348" s="496" t="str">
        <f>INDEX('[8]MATRIZ RIESGO'!$D$6:$H$10,MATCH(AC348,'[8]MATRIZ RIESGO'!$C$6:$C$10,),MATCH(AG348,'[8]MATRIZ RIESGO'!$D$5:$H$5,))</f>
        <v>Moderado</v>
      </c>
      <c r="AI348" s="496" t="s">
        <v>77</v>
      </c>
      <c r="AJ348" s="172"/>
      <c r="AK348" s="172"/>
      <c r="AL348" s="163"/>
      <c r="AM348" s="172"/>
      <c r="AN348" s="172"/>
      <c r="AO348" s="172"/>
      <c r="AP348" s="496" t="s">
        <v>642</v>
      </c>
      <c r="AQ348" s="539" t="s">
        <v>113</v>
      </c>
      <c r="FM348" s="89"/>
      <c r="FQ348" s="80"/>
    </row>
    <row r="349" spans="1:181" s="78" customFormat="1" ht="13.5" customHeight="1" x14ac:dyDescent="0.25">
      <c r="A349" s="447"/>
      <c r="B349" s="126" t="s">
        <v>633</v>
      </c>
      <c r="C349" s="325"/>
      <c r="D349" s="441"/>
      <c r="E349" s="441"/>
      <c r="F349" s="441"/>
      <c r="G349" s="438"/>
      <c r="H349" s="200"/>
      <c r="I349" s="497"/>
      <c r="J349" s="497"/>
      <c r="K349" s="497"/>
      <c r="L349" s="497"/>
      <c r="M349" s="497"/>
      <c r="N349" s="497"/>
      <c r="O349" s="510"/>
      <c r="P349" s="497"/>
      <c r="Q349" s="572"/>
      <c r="R349" s="130"/>
      <c r="S349" s="178"/>
      <c r="T349" s="178"/>
      <c r="U349" s="178"/>
      <c r="V349" s="178" t="str">
        <f t="shared" ref="V349:V353" si="152">IF(AND(T349=$FS$2,U349=$FT$2),"50%",IF(AND(T349=$FS$2,U349=$FT$3),"40%",IF(AND(T349=$FS$3,U349=$FT$2),"40%",IF(AND(T349=$FS$3,U349=$FT$3),"30%",IF(AND(T349=$FS$4,U349=$FT$2),"35%",IF(AND(T349=$FS$4,U349=$FT$3),"25%",""))))))</f>
        <v/>
      </c>
      <c r="W349" s="178"/>
      <c r="X349" s="178"/>
      <c r="Y349" s="178"/>
      <c r="Z349" s="131" t="str">
        <f>IFERROR(IF(AND(S348="Probabilidad",S349="Probabilidad"),(Z348-(+Z348*V349)),IF(S349="Probabilidad",(L348-(+L348*V349)),IF(S349="Impacto",Z348,""))),"")</f>
        <v/>
      </c>
      <c r="AA349" s="219"/>
      <c r="AB349" s="219"/>
      <c r="AC349" s="497"/>
      <c r="AD349" s="182" t="str">
        <f>IFERROR(IF(AND(S348="Impacto",V349="Impacto"),(AD348-(+AD348*V349)),IF(S349="Impacto",(O348-(+O348*V349)),IF(S349="Probabilidad",AD348,""))),"")</f>
        <v/>
      </c>
      <c r="AE349" s="219"/>
      <c r="AF349" s="219"/>
      <c r="AG349" s="497"/>
      <c r="AH349" s="497"/>
      <c r="AI349" s="497"/>
      <c r="AJ349" s="176"/>
      <c r="AK349" s="176"/>
      <c r="AL349" s="112"/>
      <c r="AM349" s="176"/>
      <c r="AN349" s="176"/>
      <c r="AO349" s="176"/>
      <c r="AP349" s="497"/>
      <c r="AQ349" s="537"/>
      <c r="FM349" s="89"/>
    </row>
    <row r="350" spans="1:181" s="78" customFormat="1" ht="13.5" customHeight="1" x14ac:dyDescent="0.25">
      <c r="A350" s="447"/>
      <c r="B350" s="126" t="s">
        <v>633</v>
      </c>
      <c r="C350" s="325"/>
      <c r="D350" s="441"/>
      <c r="E350" s="441"/>
      <c r="F350" s="441"/>
      <c r="G350" s="438"/>
      <c r="H350" s="200"/>
      <c r="I350" s="497"/>
      <c r="J350" s="497"/>
      <c r="K350" s="497"/>
      <c r="L350" s="497"/>
      <c r="M350" s="497"/>
      <c r="N350" s="497"/>
      <c r="O350" s="510"/>
      <c r="P350" s="497"/>
      <c r="Q350" s="572"/>
      <c r="R350" s="130"/>
      <c r="S350" s="178"/>
      <c r="T350" s="178"/>
      <c r="U350" s="178"/>
      <c r="V350" s="178" t="str">
        <f t="shared" si="152"/>
        <v/>
      </c>
      <c r="W350" s="178"/>
      <c r="X350" s="178"/>
      <c r="Y350" s="178"/>
      <c r="Z350" s="131" t="str">
        <f>IFERROR(IF(AND(S349="Probabilidad",S350="Probabilidad"),(Z349-(+Z349*V350)),IF(S350="Probabilidad",(L349-(+L349*V350)),IF(S350="Impacto",Z349,""))),"")</f>
        <v/>
      </c>
      <c r="AA350" s="219"/>
      <c r="AB350" s="219"/>
      <c r="AC350" s="497"/>
      <c r="AD350" s="182" t="str">
        <f t="shared" ref="AD350:AD353" si="153">IFERROR(IF(AND(S349="Impacto",V350="Impacto"),(AD349-(+AD349*V350)),IF(S350="Impacto",(O349-(+O349*V350)),IF(S350="Probabilidad",AD349,""))),"")</f>
        <v/>
      </c>
      <c r="AE350" s="219"/>
      <c r="AF350" s="219"/>
      <c r="AG350" s="497"/>
      <c r="AH350" s="497"/>
      <c r="AI350" s="497"/>
      <c r="AJ350" s="172"/>
      <c r="AK350" s="172"/>
      <c r="AL350" s="163"/>
      <c r="AM350" s="172"/>
      <c r="AN350" s="172"/>
      <c r="AO350" s="172"/>
      <c r="AP350" s="497"/>
      <c r="AQ350" s="537"/>
      <c r="FM350" s="89"/>
    </row>
    <row r="351" spans="1:181" s="78" customFormat="1" ht="13.5" customHeight="1" x14ac:dyDescent="0.25">
      <c r="A351" s="447"/>
      <c r="B351" s="126" t="s">
        <v>633</v>
      </c>
      <c r="C351" s="325"/>
      <c r="D351" s="441"/>
      <c r="E351" s="441"/>
      <c r="F351" s="441"/>
      <c r="G351" s="438"/>
      <c r="H351" s="200"/>
      <c r="I351" s="497"/>
      <c r="J351" s="497"/>
      <c r="K351" s="497"/>
      <c r="L351" s="497"/>
      <c r="M351" s="497"/>
      <c r="N351" s="497"/>
      <c r="O351" s="510"/>
      <c r="P351" s="497"/>
      <c r="Q351" s="572"/>
      <c r="R351" s="130"/>
      <c r="S351" s="178"/>
      <c r="T351" s="178"/>
      <c r="U351" s="178"/>
      <c r="V351" s="178" t="str">
        <f t="shared" si="152"/>
        <v/>
      </c>
      <c r="W351" s="178"/>
      <c r="X351" s="178"/>
      <c r="Y351" s="178"/>
      <c r="Z351" s="131" t="str">
        <f>IFERROR(IF(AND(S350="Probabilidad",S351="Probabilidad"),(Z350-(+Z350*V351)),IF(S351="Probabilidad",(L350-(+L350*V351)),IF(S351="Impacto",Z350,""))),"")</f>
        <v/>
      </c>
      <c r="AA351" s="219"/>
      <c r="AB351" s="219"/>
      <c r="AC351" s="497"/>
      <c r="AD351" s="182" t="str">
        <f t="shared" si="153"/>
        <v/>
      </c>
      <c r="AE351" s="219"/>
      <c r="AF351" s="219"/>
      <c r="AG351" s="497"/>
      <c r="AH351" s="497"/>
      <c r="AI351" s="497"/>
      <c r="AJ351" s="172"/>
      <c r="AK351" s="172"/>
      <c r="AL351" s="163"/>
      <c r="AM351" s="172"/>
      <c r="AN351" s="172"/>
      <c r="AO351" s="172"/>
      <c r="AP351" s="497"/>
      <c r="AQ351" s="537"/>
      <c r="FM351" s="89"/>
    </row>
    <row r="352" spans="1:181" s="78" customFormat="1" ht="13.5" customHeight="1" x14ac:dyDescent="0.25">
      <c r="A352" s="447"/>
      <c r="B352" s="126" t="s">
        <v>633</v>
      </c>
      <c r="C352" s="325"/>
      <c r="D352" s="441"/>
      <c r="E352" s="441"/>
      <c r="F352" s="441"/>
      <c r="G352" s="438"/>
      <c r="H352" s="200"/>
      <c r="I352" s="497"/>
      <c r="J352" s="497"/>
      <c r="K352" s="497"/>
      <c r="L352" s="497"/>
      <c r="M352" s="497"/>
      <c r="N352" s="497"/>
      <c r="O352" s="510"/>
      <c r="P352" s="497"/>
      <c r="Q352" s="572"/>
      <c r="R352" s="130"/>
      <c r="S352" s="178"/>
      <c r="T352" s="178"/>
      <c r="U352" s="178"/>
      <c r="V352" s="178" t="str">
        <f t="shared" si="152"/>
        <v/>
      </c>
      <c r="W352" s="178"/>
      <c r="X352" s="178"/>
      <c r="Y352" s="178"/>
      <c r="Z352" s="131" t="str">
        <f>IFERROR(IF(AND(S351="Probabilidad",S352="Probabilidad"),(Z351-(+Z351*V352)),IF(S352="Probabilidad",(L351-(+L351*V352)),IF(S352="Impacto",Z351,""))),"")</f>
        <v/>
      </c>
      <c r="AA352" s="219"/>
      <c r="AB352" s="219"/>
      <c r="AC352" s="497"/>
      <c r="AD352" s="182" t="str">
        <f t="shared" si="153"/>
        <v/>
      </c>
      <c r="AE352" s="219"/>
      <c r="AF352" s="219"/>
      <c r="AG352" s="497"/>
      <c r="AH352" s="497"/>
      <c r="AI352" s="497"/>
      <c r="AJ352" s="172"/>
      <c r="AK352" s="172"/>
      <c r="AL352" s="163"/>
      <c r="AM352" s="172"/>
      <c r="AN352" s="172"/>
      <c r="AO352" s="172"/>
      <c r="AP352" s="497"/>
      <c r="AQ352" s="537"/>
      <c r="FM352" s="89"/>
    </row>
    <row r="353" spans="1:173" s="78" customFormat="1" ht="13.5" customHeight="1" x14ac:dyDescent="0.25">
      <c r="A353" s="460"/>
      <c r="B353" s="126" t="s">
        <v>633</v>
      </c>
      <c r="C353" s="459"/>
      <c r="D353" s="458"/>
      <c r="E353" s="458"/>
      <c r="F353" s="458"/>
      <c r="G353" s="457"/>
      <c r="H353" s="201"/>
      <c r="I353" s="498"/>
      <c r="J353" s="498"/>
      <c r="K353" s="498"/>
      <c r="L353" s="498"/>
      <c r="M353" s="498"/>
      <c r="N353" s="498"/>
      <c r="O353" s="511"/>
      <c r="P353" s="498"/>
      <c r="Q353" s="572"/>
      <c r="R353" s="130"/>
      <c r="S353" s="178"/>
      <c r="T353" s="178"/>
      <c r="U353" s="178"/>
      <c r="V353" s="178" t="str">
        <f t="shared" si="152"/>
        <v/>
      </c>
      <c r="W353" s="178"/>
      <c r="X353" s="178"/>
      <c r="Y353" s="178"/>
      <c r="Z353" s="131" t="str">
        <f>IFERROR(IF(AND(S352="Probabilidad",S353="Probabilidad"),(Z352-(+Z352*V353)),IF(S353="Probabilidad",(L352-(+L352*V353)),IF(S353="Impacto",Z352,""))),"")</f>
        <v/>
      </c>
      <c r="AA353" s="220"/>
      <c r="AB353" s="220"/>
      <c r="AC353" s="498"/>
      <c r="AD353" s="182" t="str">
        <f t="shared" si="153"/>
        <v/>
      </c>
      <c r="AE353" s="220"/>
      <c r="AF353" s="220"/>
      <c r="AG353" s="498"/>
      <c r="AH353" s="498"/>
      <c r="AI353" s="498"/>
      <c r="AJ353" s="172"/>
      <c r="AK353" s="172"/>
      <c r="AL353" s="163"/>
      <c r="AM353" s="172"/>
      <c r="AN353" s="172"/>
      <c r="AO353" s="172"/>
      <c r="AP353" s="498"/>
      <c r="AQ353" s="538"/>
      <c r="FM353" s="89"/>
      <c r="FQ353" s="79"/>
    </row>
    <row r="354" spans="1:173" s="78" customFormat="1" ht="13.5" customHeight="1" x14ac:dyDescent="0.25">
      <c r="A354" s="446">
        <v>65</v>
      </c>
      <c r="B354" s="126" t="s">
        <v>633</v>
      </c>
      <c r="C354" s="444" t="s">
        <v>233</v>
      </c>
      <c r="D354" s="440" t="s">
        <v>643</v>
      </c>
      <c r="E354" s="440" t="s">
        <v>644</v>
      </c>
      <c r="F354" s="440" t="s">
        <v>645</v>
      </c>
      <c r="G354" s="437" t="s">
        <v>149</v>
      </c>
      <c r="H354" s="199" t="s">
        <v>267</v>
      </c>
      <c r="I354" s="496" t="s">
        <v>151</v>
      </c>
      <c r="J354" s="496">
        <v>1799</v>
      </c>
      <c r="K354" s="496" t="str">
        <f>IF(AND(J354&lt;=2),"Muy Baja",IF(AND(J354&gt;=3,J354&lt;=23),"Baja",IF(AND(J354&gt;=24,J354&lt;=499),"Media",IF(AND(J354&gt;=500,J354&lt;=4999),"Alta",IF(AND(J354&gt;=5000),"Muy Alta",FALSE)))))</f>
        <v>Alta</v>
      </c>
      <c r="L354" s="496" t="str">
        <f>IF(AND(J354&lt;=2),"20%",IF(AND(J354&gt;=3,J354&lt;=23),"40%",IF(AND(J354&gt;=24,J354&lt;=499),"60%",IF(AND(J354&gt;=500,J354&lt;=4999),"80%",IF(AND(J354&gt;=5000),"100%",FALSE)))))</f>
        <v>80%</v>
      </c>
      <c r="M354" s="496" t="s">
        <v>235</v>
      </c>
      <c r="N354" s="496" t="str">
        <f>IF(AND(M354=$FQ$4),"Leve",IF(AND(M354=$FQ$5),"Menor",IF(AND(M354=$FQ$6),"Moderado",IF(AND(M354=$FQ$7),"mayor",IF(AND(M354=$FQ$8),"Catastrófico",IF(AND(M354=$FQ$10),"Leve",IF(AND(M354=$FQ$11),"Menor",IF(AND(M354=$FQ$12),"Moderado",IF(AND(M354=$FQ$13),"Mayor",IF(AND(M354=$FQ$14),"Catastrófico",FALSE))))))))))</f>
        <v>Catastrófico</v>
      </c>
      <c r="O354" s="509" t="str">
        <f>IF(AND(N354="Leve"),"20%",IF(AND(N354="Menor"),"40%",IF(AND(N354="Moderado"),"60%",IF(AND(N354="Mayor"),"80%",IF(AND(N354="Catastrófico"),"100%","")))))</f>
        <v>100%</v>
      </c>
      <c r="P354" s="496" t="str">
        <f>INDEX('[8]MATRIZ RIESGO'!$D$6:$H$10,MATCH(K354,'[8]MATRIZ RIESGO'!$C$6:$C$10,),MATCH(N354,'[8]MATRIZ RIESGO'!$D$5:$H$5,))</f>
        <v>Extremo</v>
      </c>
      <c r="Q354" s="572">
        <v>1</v>
      </c>
      <c r="R354" s="130" t="s">
        <v>646</v>
      </c>
      <c r="S354" s="178" t="s">
        <v>237</v>
      </c>
      <c r="T354" s="178" t="s">
        <v>152</v>
      </c>
      <c r="U354" s="178" t="s">
        <v>153</v>
      </c>
      <c r="V354" s="178" t="str">
        <f>IF(AND(T354=$FS$2,U354=$FT$2),"50%",IF(AND(T354=$FS$2,U354=$FT$3),"40%",IF(AND(T354=$FS$3,U354=$FT$2),"40%",IF(AND(T354=$FS$3,U354=$FT$3),"30%",IF(AND(T354=$FS$4,U354=$FT$2),"35%",IF(AND(T354=$FS$4,U354=$FT$3),"25%",""))))))</f>
        <v>40%</v>
      </c>
      <c r="W354" s="178" t="s">
        <v>154</v>
      </c>
      <c r="X354" s="178" t="s">
        <v>155</v>
      </c>
      <c r="Y354" s="178" t="s">
        <v>156</v>
      </c>
      <c r="Z354" s="131">
        <f>IFERROR(IF(S354="Probabilidad",(L354-(+L354*V354)),IF(S354="Impacto",L354,"")),"")</f>
        <v>0.48</v>
      </c>
      <c r="AA354" s="218">
        <f>LOOKUP(2,1/(Z354:Z359&lt;&gt;""),Z354:Z359)</f>
        <v>0.28799999999999998</v>
      </c>
      <c r="AB354" s="218">
        <f t="shared" ref="AB354" si="154">AA354*1</f>
        <v>0.28799999999999998</v>
      </c>
      <c r="AC354" s="496" t="str">
        <f t="shared" ref="AC354" si="155">IF(AND(AB354&lt;=20%),"Muy Baja",IF(AND(AB354&gt;=21%,AB354&lt;=40%),"Baja",IF(AND(AB354&gt;=41%,AB354&lt;=60%),"Media",IF(AND(AB354&gt;=61%,AB354&lt;=80%),"Alta",IF(AND(AB354&gt;=81%,AB354&gt;=100%),"Muy Alta",FALSE)))))</f>
        <v>Baja</v>
      </c>
      <c r="AD354" s="182" t="str">
        <f>IFERROR(IF(S354="Impacto",(O354-(+O354*V354)),IF(S354="Probabilidad",O354,"")),"")</f>
        <v>100%</v>
      </c>
      <c r="AE354" s="218">
        <f>LOOKUP(2,1/(AD354:AD359&lt;&gt;""),AD354:AD359)</f>
        <v>0</v>
      </c>
      <c r="AF354" s="218">
        <f>AE354*1</f>
        <v>0</v>
      </c>
      <c r="AG354" s="496" t="str">
        <f t="shared" ref="AG354" si="156">CHOOSE((AF354&gt;=0%)+(AF354&gt;=21%)+(AF354&gt;=41%)+(AF354&gt;=61%)+(AF354&gt;=81%),"Leve","Menor","Moderado","Mayor","Catastrófico")</f>
        <v>Leve</v>
      </c>
      <c r="AH354" s="496" t="str">
        <f>INDEX('[8]MATRIZ RIESGO'!$D$6:$H$10,MATCH(AC354,'[8]MATRIZ RIESGO'!$C$6:$C$10,),MATCH(AG354,'[8]MATRIZ RIESGO'!$D$5:$H$5,))</f>
        <v>Bajo</v>
      </c>
      <c r="AI354" s="496" t="s">
        <v>111</v>
      </c>
      <c r="AJ354" s="172"/>
      <c r="AK354" s="172"/>
      <c r="AL354" s="163"/>
      <c r="AM354" s="172"/>
      <c r="AN354" s="172"/>
      <c r="AO354" s="172"/>
      <c r="AP354" s="496" t="s">
        <v>647</v>
      </c>
      <c r="AQ354" s="539" t="s">
        <v>113</v>
      </c>
      <c r="FM354" s="89"/>
      <c r="FQ354" s="80"/>
    </row>
    <row r="355" spans="1:173" s="78" customFormat="1" ht="13.5" customHeight="1" x14ac:dyDescent="0.25">
      <c r="A355" s="447"/>
      <c r="B355" s="126" t="s">
        <v>633</v>
      </c>
      <c r="C355" s="325"/>
      <c r="D355" s="441"/>
      <c r="E355" s="441"/>
      <c r="F355" s="441"/>
      <c r="G355" s="438"/>
      <c r="H355" s="200"/>
      <c r="I355" s="497"/>
      <c r="J355" s="497"/>
      <c r="K355" s="497"/>
      <c r="L355" s="497"/>
      <c r="M355" s="497"/>
      <c r="N355" s="497"/>
      <c r="O355" s="510"/>
      <c r="P355" s="497"/>
      <c r="Q355" s="572">
        <v>2</v>
      </c>
      <c r="R355" s="130" t="s">
        <v>856</v>
      </c>
      <c r="S355" s="178" t="s">
        <v>237</v>
      </c>
      <c r="T355" s="178" t="s">
        <v>152</v>
      </c>
      <c r="U355" s="178" t="s">
        <v>153</v>
      </c>
      <c r="V355" s="178" t="str">
        <f t="shared" ref="V355:V359" si="157">IF(AND(T355=$FS$2,U355=$FT$2),"50%",IF(AND(T355=$FS$2,U355=$FT$3),"40%",IF(AND(T355=$FS$3,U355=$FT$2),"40%",IF(AND(T355=$FS$3,U355=$FT$3),"30%",IF(AND(T355=$FS$4,U355=$FT$2),"35%",IF(AND(T355=$FS$4,U355=$FT$3),"25%",""))))))</f>
        <v>40%</v>
      </c>
      <c r="W355" s="178" t="s">
        <v>154</v>
      </c>
      <c r="X355" s="178" t="s">
        <v>155</v>
      </c>
      <c r="Y355" s="178" t="s">
        <v>156</v>
      </c>
      <c r="Z355" s="131">
        <f>IFERROR(IF(AND(S354="Probabilidad",S355="Probabilidad"),(Z354-(+Z354*V355)),IF(S355="Probabilidad",(L354-(+L354*V355)),IF(S355="Impacto",Z354,""))),"")</f>
        <v>0.28799999999999998</v>
      </c>
      <c r="AA355" s="219"/>
      <c r="AB355" s="219"/>
      <c r="AC355" s="497"/>
      <c r="AD355" s="182" t="str">
        <f>IFERROR(IF(AND(S354="Impacto",V355="Impacto"),(AD354-(+AD354*V355)),IF(S355="Impacto",(O354-(+O354*V355)),IF(S355="Probabilidad",AD354,""))),"")</f>
        <v>100%</v>
      </c>
      <c r="AE355" s="219"/>
      <c r="AF355" s="219"/>
      <c r="AG355" s="497"/>
      <c r="AH355" s="497"/>
      <c r="AI355" s="497"/>
      <c r="AJ355" s="172"/>
      <c r="AK355" s="172"/>
      <c r="AL355" s="163"/>
      <c r="AM355" s="172"/>
      <c r="AN355" s="172"/>
      <c r="AO355" s="172"/>
      <c r="AP355" s="497"/>
      <c r="AQ355" s="537"/>
      <c r="FM355" s="89"/>
    </row>
    <row r="356" spans="1:173" s="78" customFormat="1" ht="13.5" customHeight="1" x14ac:dyDescent="0.25">
      <c r="A356" s="447"/>
      <c r="B356" s="126" t="s">
        <v>633</v>
      </c>
      <c r="C356" s="325"/>
      <c r="D356" s="441"/>
      <c r="E356" s="441"/>
      <c r="F356" s="441"/>
      <c r="G356" s="438"/>
      <c r="H356" s="200"/>
      <c r="I356" s="497"/>
      <c r="J356" s="497"/>
      <c r="K356" s="497"/>
      <c r="L356" s="497"/>
      <c r="M356" s="497"/>
      <c r="N356" s="497"/>
      <c r="O356" s="510"/>
      <c r="P356" s="497"/>
      <c r="Q356" s="572">
        <v>3</v>
      </c>
      <c r="R356" s="130" t="s">
        <v>648</v>
      </c>
      <c r="S356" s="178" t="s">
        <v>242</v>
      </c>
      <c r="T356" s="178" t="s">
        <v>174</v>
      </c>
      <c r="U356" s="178" t="s">
        <v>153</v>
      </c>
      <c r="V356" s="178" t="str">
        <f t="shared" si="157"/>
        <v>25%</v>
      </c>
      <c r="W356" s="178" t="s">
        <v>154</v>
      </c>
      <c r="X356" s="178" t="s">
        <v>155</v>
      </c>
      <c r="Y356" s="178" t="s">
        <v>156</v>
      </c>
      <c r="Z356" s="131">
        <f>IFERROR(IF(AND(S355="Probabilidad",S356="Probabilidad"),(Z355-(+Z355*V356)),IF(S356="Probabilidad",(L355-(+L355*V356)),IF(S356="Impacto",Z355,""))),"")</f>
        <v>0.28799999999999998</v>
      </c>
      <c r="AA356" s="219"/>
      <c r="AB356" s="219"/>
      <c r="AC356" s="497"/>
      <c r="AD356" s="182">
        <f t="shared" ref="AD356:AD359" si="158">IFERROR(IF(AND(S355="Impacto",V356="Impacto"),(AD355-(+AD355*V356)),IF(S356="Impacto",(O355-(+O355*V356)),IF(S356="Probabilidad",AD355,""))),"")</f>
        <v>0</v>
      </c>
      <c r="AE356" s="219"/>
      <c r="AF356" s="219"/>
      <c r="AG356" s="497"/>
      <c r="AH356" s="497"/>
      <c r="AI356" s="497"/>
      <c r="AJ356" s="172"/>
      <c r="AK356" s="172"/>
      <c r="AL356" s="163"/>
      <c r="AM356" s="172"/>
      <c r="AN356" s="172"/>
      <c r="AO356" s="172"/>
      <c r="AP356" s="497"/>
      <c r="AQ356" s="537"/>
      <c r="FM356" s="89"/>
    </row>
    <row r="357" spans="1:173" s="78" customFormat="1" ht="13.5" customHeight="1" x14ac:dyDescent="0.25">
      <c r="A357" s="447"/>
      <c r="B357" s="126" t="s">
        <v>633</v>
      </c>
      <c r="C357" s="325"/>
      <c r="D357" s="441"/>
      <c r="E357" s="441"/>
      <c r="F357" s="441"/>
      <c r="G357" s="438"/>
      <c r="H357" s="200"/>
      <c r="I357" s="497"/>
      <c r="J357" s="497"/>
      <c r="K357" s="497"/>
      <c r="L357" s="497"/>
      <c r="M357" s="497"/>
      <c r="N357" s="497"/>
      <c r="O357" s="510"/>
      <c r="P357" s="497"/>
      <c r="Q357" s="572">
        <v>4</v>
      </c>
      <c r="R357" s="130" t="s">
        <v>649</v>
      </c>
      <c r="S357" s="178" t="s">
        <v>242</v>
      </c>
      <c r="T357" s="178" t="s">
        <v>174</v>
      </c>
      <c r="U357" s="178" t="s">
        <v>171</v>
      </c>
      <c r="V357" s="178" t="str">
        <f t="shared" si="157"/>
        <v>35%</v>
      </c>
      <c r="W357" s="178" t="s">
        <v>154</v>
      </c>
      <c r="X357" s="178" t="s">
        <v>155</v>
      </c>
      <c r="Y357" s="178" t="s">
        <v>156</v>
      </c>
      <c r="Z357" s="131">
        <f>IFERROR(IF(AND(S356="Probabilidad",S357="Probabilidad"),(Z356-(+Z356*V357)),IF(S357="Probabilidad",(L356-(+L356*V357)),IF(S357="Impacto",Z356,""))),"")</f>
        <v>0.28799999999999998</v>
      </c>
      <c r="AA357" s="219"/>
      <c r="AB357" s="219"/>
      <c r="AC357" s="497"/>
      <c r="AD357" s="182">
        <f t="shared" si="158"/>
        <v>0</v>
      </c>
      <c r="AE357" s="219"/>
      <c r="AF357" s="219"/>
      <c r="AG357" s="497"/>
      <c r="AH357" s="497"/>
      <c r="AI357" s="497"/>
      <c r="AJ357" s="172"/>
      <c r="AK357" s="172"/>
      <c r="AL357" s="163"/>
      <c r="AM357" s="172"/>
      <c r="AN357" s="172"/>
      <c r="AO357" s="172"/>
      <c r="AP357" s="497"/>
      <c r="AQ357" s="537"/>
      <c r="FM357" s="89"/>
    </row>
    <row r="358" spans="1:173" s="78" customFormat="1" ht="13.5" customHeight="1" x14ac:dyDescent="0.25">
      <c r="A358" s="447"/>
      <c r="B358" s="126" t="s">
        <v>633</v>
      </c>
      <c r="C358" s="325"/>
      <c r="D358" s="441"/>
      <c r="E358" s="441"/>
      <c r="F358" s="441"/>
      <c r="G358" s="438"/>
      <c r="H358" s="200"/>
      <c r="I358" s="497"/>
      <c r="J358" s="497"/>
      <c r="K358" s="497"/>
      <c r="L358" s="497"/>
      <c r="M358" s="497"/>
      <c r="N358" s="497"/>
      <c r="O358" s="510"/>
      <c r="P358" s="497"/>
      <c r="Q358" s="572"/>
      <c r="R358" s="130"/>
      <c r="S358" s="178"/>
      <c r="T358" s="178"/>
      <c r="U358" s="178"/>
      <c r="V358" s="178" t="str">
        <f t="shared" si="157"/>
        <v/>
      </c>
      <c r="W358" s="178"/>
      <c r="X358" s="178"/>
      <c r="Y358" s="178"/>
      <c r="Z358" s="131" t="str">
        <f>IFERROR(IF(AND(S357="Probabilidad",S358="Probabilidad"),(Z357-(+Z357*V358)),IF(S358="Probabilidad",(L357-(+L357*V358)),IF(S358="Impacto",Z357,""))),"")</f>
        <v/>
      </c>
      <c r="AA358" s="219"/>
      <c r="AB358" s="219"/>
      <c r="AC358" s="497"/>
      <c r="AD358" s="182" t="str">
        <f t="shared" si="158"/>
        <v/>
      </c>
      <c r="AE358" s="219"/>
      <c r="AF358" s="219"/>
      <c r="AG358" s="497"/>
      <c r="AH358" s="497"/>
      <c r="AI358" s="497"/>
      <c r="AJ358" s="172"/>
      <c r="AK358" s="172"/>
      <c r="AL358" s="163"/>
      <c r="AM358" s="172"/>
      <c r="AN358" s="172"/>
      <c r="AO358" s="172"/>
      <c r="AP358" s="497"/>
      <c r="AQ358" s="537"/>
      <c r="FM358" s="89"/>
    </row>
    <row r="359" spans="1:173" s="78" customFormat="1" ht="13.5" customHeight="1" x14ac:dyDescent="0.25">
      <c r="A359" s="460"/>
      <c r="B359" s="126" t="s">
        <v>633</v>
      </c>
      <c r="C359" s="459"/>
      <c r="D359" s="458"/>
      <c r="E359" s="458"/>
      <c r="F359" s="458"/>
      <c r="G359" s="457"/>
      <c r="H359" s="201"/>
      <c r="I359" s="498"/>
      <c r="J359" s="498"/>
      <c r="K359" s="498"/>
      <c r="L359" s="498"/>
      <c r="M359" s="498"/>
      <c r="N359" s="498"/>
      <c r="O359" s="511"/>
      <c r="P359" s="498"/>
      <c r="Q359" s="572"/>
      <c r="R359" s="130"/>
      <c r="S359" s="178"/>
      <c r="T359" s="178"/>
      <c r="U359" s="178"/>
      <c r="V359" s="178" t="str">
        <f t="shared" si="157"/>
        <v/>
      </c>
      <c r="W359" s="178"/>
      <c r="X359" s="178"/>
      <c r="Y359" s="178"/>
      <c r="Z359" s="131" t="str">
        <f>IFERROR(IF(AND(S358="Probabilidad",S359="Probabilidad"),(Z358-(+Z358*V359)),IF(S359="Probabilidad",(L358-(+L358*V359)),IF(S359="Impacto",Z358,""))),"")</f>
        <v/>
      </c>
      <c r="AA359" s="220"/>
      <c r="AB359" s="220"/>
      <c r="AC359" s="498"/>
      <c r="AD359" s="182" t="str">
        <f t="shared" si="158"/>
        <v/>
      </c>
      <c r="AE359" s="220"/>
      <c r="AF359" s="220"/>
      <c r="AG359" s="498"/>
      <c r="AH359" s="498"/>
      <c r="AI359" s="498"/>
      <c r="AJ359" s="172"/>
      <c r="AK359" s="172"/>
      <c r="AL359" s="163"/>
      <c r="AM359" s="172"/>
      <c r="AN359" s="172"/>
      <c r="AO359" s="172"/>
      <c r="AP359" s="498"/>
      <c r="AQ359" s="538"/>
      <c r="FM359" s="89"/>
      <c r="FQ359" s="79"/>
    </row>
    <row r="360" spans="1:173" s="78" customFormat="1" ht="13.5" customHeight="1" x14ac:dyDescent="0.25">
      <c r="A360" s="446">
        <v>66</v>
      </c>
      <c r="B360" s="126" t="s">
        <v>633</v>
      </c>
      <c r="C360" s="444" t="s">
        <v>248</v>
      </c>
      <c r="D360" s="440" t="s">
        <v>650</v>
      </c>
      <c r="E360" s="440" t="s">
        <v>651</v>
      </c>
      <c r="F360" s="440" t="s">
        <v>652</v>
      </c>
      <c r="G360" s="437" t="s">
        <v>149</v>
      </c>
      <c r="H360" s="199" t="s">
        <v>150</v>
      </c>
      <c r="I360" s="496" t="s">
        <v>151</v>
      </c>
      <c r="J360" s="496">
        <f>50*12</f>
        <v>600</v>
      </c>
      <c r="K360" s="496" t="str">
        <f>IF(AND(J360&lt;=2),"Muy Baja",IF(AND(J360&gt;=3,J360&lt;=23),"Baja",IF(AND(J360&gt;=24,J360&lt;=499),"Media",IF(AND(J360&gt;=500,J360&lt;=4999),"Alta",IF(AND(J360&gt;=5000),"Muy Alta",FALSE)))))</f>
        <v>Alta</v>
      </c>
      <c r="L360" s="496" t="str">
        <f>IF(AND(J360&lt;=2),"20%",IF(AND(J360&gt;=3,J360&lt;=23),"40%",IF(AND(J360&gt;=24,J360&lt;=499),"60%",IF(AND(J360&gt;=500,J360&lt;=4999),"80%",IF(AND(J360&gt;=5000),"100%",FALSE)))))</f>
        <v>80%</v>
      </c>
      <c r="M360" s="496" t="s">
        <v>257</v>
      </c>
      <c r="N360" s="496" t="str">
        <f>IF(AND(M360=$FQ$4),"Leve",IF(AND(M360=$FQ$5),"Menor",IF(AND(M360=$FQ$6),"Moderado",IF(AND(M360=$FQ$7),"mayor",IF(AND(M360=$FQ$8),"Catastrófico",IF(AND(M360=$FQ$10),"Leve",IF(AND(M360=$FQ$11),"Menor",IF(AND(M360=$FQ$12),"Moderado",IF(AND(M360=$FQ$13),"Mayor",IF(AND(M360=$FQ$14),"Catastrófico",FALSE))))))))))</f>
        <v>Mayor</v>
      </c>
      <c r="O360" s="509" t="str">
        <f>IF(AND(N360="Leve"),"20%",IF(AND(N360="Menor"),"40%",IF(AND(N360="Moderado"),"60%",IF(AND(N360="Mayor"),"80%",IF(AND(N360="Catastrófico"),"100%","")))))</f>
        <v>80%</v>
      </c>
      <c r="P360" s="496" t="str">
        <f>INDEX('[8]MATRIZ RIESGO'!$D$6:$H$10,MATCH(K360,'[8]MATRIZ RIESGO'!$C$6:$C$10,),MATCH(N360,'[8]MATRIZ RIESGO'!$D$5:$H$5,))</f>
        <v>Alto</v>
      </c>
      <c r="Q360" s="572">
        <v>1</v>
      </c>
      <c r="R360" s="130" t="s">
        <v>857</v>
      </c>
      <c r="S360" s="178" t="s">
        <v>242</v>
      </c>
      <c r="T360" s="178" t="s">
        <v>174</v>
      </c>
      <c r="U360" s="178" t="s">
        <v>153</v>
      </c>
      <c r="V360" s="178" t="str">
        <f>IF(AND(T360=$FS$2,U360=$FT$2),"50%",IF(AND(T360=$FS$2,U360=$FT$3),"40%",IF(AND(T360=$FS$3,U360=$FT$2),"40%",IF(AND(T360=$FS$3,U360=$FT$3),"30%",IF(AND(T360=$FS$4,U360=$FT$2),"35%",IF(AND(T360=$FS$4,U360=$FT$3),"25%",""))))))</f>
        <v>25%</v>
      </c>
      <c r="W360" s="178" t="s">
        <v>154</v>
      </c>
      <c r="X360" s="178" t="s">
        <v>164</v>
      </c>
      <c r="Y360" s="178" t="s">
        <v>156</v>
      </c>
      <c r="Z360" s="131" t="str">
        <f>IFERROR(IF(S360="Probabilidad",(L360-(+L360*V360)),IF(S360="Impacto",L360,"")),"")</f>
        <v>80%</v>
      </c>
      <c r="AA360" s="218" t="str">
        <f>LOOKUP(2,1/(Z360:Z365&lt;&gt;""),Z360:Z365)</f>
        <v>80%</v>
      </c>
      <c r="AB360" s="218">
        <f t="shared" ref="AB360" si="159">AA360*1</f>
        <v>0.8</v>
      </c>
      <c r="AC360" s="496" t="str">
        <f t="shared" ref="AC360" si="160">IF(AND(AB360&lt;=20%),"Muy Baja",IF(AND(AB360&gt;=21%,AB360&lt;=40%),"Baja",IF(AND(AB360&gt;=41%,AB360&lt;=60%),"Media",IF(AND(AB360&gt;=61%,AB360&lt;=80%),"Alta",IF(AND(AB360&gt;=81%,AB360&gt;=100%),"Muy Alta",FALSE)))))</f>
        <v>Alta</v>
      </c>
      <c r="AD360" s="182">
        <f>IFERROR(IF(S360="Impacto",(O360-(+O360*V360)),IF(S360="Probabilidad",O360,"")),"")</f>
        <v>0.60000000000000009</v>
      </c>
      <c r="AE360" s="218">
        <f>LOOKUP(2,1/(AD360:AD365&lt;&gt;""),AD360:AD365)</f>
        <v>0.60000000000000009</v>
      </c>
      <c r="AF360" s="218">
        <f>AE360*1</f>
        <v>0.60000000000000009</v>
      </c>
      <c r="AG360" s="496" t="str">
        <f t="shared" ref="AG360" si="161">CHOOSE((AF360&gt;=0%)+(AF360&gt;=21%)+(AF360&gt;=41%)+(AF360&gt;=61%)+(AF360&gt;=81%),"Leve","Menor","Moderado","Mayor","Catastrófico")</f>
        <v>Moderado</v>
      </c>
      <c r="AH360" s="496" t="str">
        <f>INDEX('[8]MATRIZ RIESGO'!$D$6:$H$10,MATCH(AC360,'[8]MATRIZ RIESGO'!$C$6:$C$10,),MATCH(AG360,'[8]MATRIZ RIESGO'!$D$5:$H$5,))</f>
        <v>Alto</v>
      </c>
      <c r="AI360" s="496" t="s">
        <v>111</v>
      </c>
      <c r="AJ360" s="172"/>
      <c r="AK360" s="172"/>
      <c r="AL360" s="163"/>
      <c r="AM360" s="172"/>
      <c r="AN360" s="172"/>
      <c r="AO360" s="172"/>
      <c r="AP360" s="496" t="s">
        <v>653</v>
      </c>
      <c r="AQ360" s="539" t="s">
        <v>113</v>
      </c>
      <c r="FM360" s="89"/>
      <c r="FQ360" s="80"/>
    </row>
    <row r="361" spans="1:173" s="78" customFormat="1" ht="13.5" customHeight="1" x14ac:dyDescent="0.25">
      <c r="A361" s="447"/>
      <c r="B361" s="126" t="s">
        <v>633</v>
      </c>
      <c r="C361" s="325"/>
      <c r="D361" s="441"/>
      <c r="E361" s="441"/>
      <c r="F361" s="441"/>
      <c r="G361" s="438"/>
      <c r="H361" s="200"/>
      <c r="I361" s="497"/>
      <c r="J361" s="497"/>
      <c r="K361" s="497"/>
      <c r="L361" s="497"/>
      <c r="M361" s="497"/>
      <c r="N361" s="497"/>
      <c r="O361" s="510"/>
      <c r="P361" s="497"/>
      <c r="Q361" s="572"/>
      <c r="R361" s="130"/>
      <c r="S361" s="178"/>
      <c r="T361" s="178"/>
      <c r="U361" s="178"/>
      <c r="V361" s="178" t="str">
        <f t="shared" ref="V361:V365" si="162">IF(AND(T361=$FS$2,U361=$FT$2),"50%",IF(AND(T361=$FS$2,U361=$FT$3),"40%",IF(AND(T361=$FS$3,U361=$FT$2),"40%",IF(AND(T361=$FS$3,U361=$FT$3),"30%",IF(AND(T361=$FS$4,U361=$FT$2),"35%",IF(AND(T361=$FS$4,U361=$FT$3),"25%",""))))))</f>
        <v/>
      </c>
      <c r="W361" s="178"/>
      <c r="X361" s="178"/>
      <c r="Y361" s="178"/>
      <c r="Z361" s="131" t="str">
        <f>IFERROR(IF(AND(S360="Probabilidad",S361="Probabilidad"),(Z360-(+Z360*V361)),IF(S361="Probabilidad",(L360-(+L360*V361)),IF(S361="Impacto",Z360,""))),"")</f>
        <v/>
      </c>
      <c r="AA361" s="219"/>
      <c r="AB361" s="219"/>
      <c r="AC361" s="497"/>
      <c r="AD361" s="182" t="str">
        <f>IFERROR(IF(AND(S360="Impacto",V361="Impacto"),(AD360-(+AD360*V361)),IF(S361="Impacto",(O360-(+O360*V361)),IF(S361="Probabilidad",AD360,""))),"")</f>
        <v/>
      </c>
      <c r="AE361" s="219"/>
      <c r="AF361" s="219"/>
      <c r="AG361" s="497"/>
      <c r="AH361" s="497"/>
      <c r="AI361" s="497"/>
      <c r="AJ361" s="172"/>
      <c r="AK361" s="172"/>
      <c r="AL361" s="163"/>
      <c r="AM361" s="172"/>
      <c r="AN361" s="172"/>
      <c r="AO361" s="172"/>
      <c r="AP361" s="497"/>
      <c r="AQ361" s="537"/>
      <c r="FM361" s="89"/>
    </row>
    <row r="362" spans="1:173" s="78" customFormat="1" ht="13.5" customHeight="1" x14ac:dyDescent="0.25">
      <c r="A362" s="447"/>
      <c r="B362" s="126" t="s">
        <v>633</v>
      </c>
      <c r="C362" s="325"/>
      <c r="D362" s="441"/>
      <c r="E362" s="441"/>
      <c r="F362" s="441"/>
      <c r="G362" s="438"/>
      <c r="H362" s="200"/>
      <c r="I362" s="497"/>
      <c r="J362" s="497"/>
      <c r="K362" s="497"/>
      <c r="L362" s="497"/>
      <c r="M362" s="497"/>
      <c r="N362" s="497"/>
      <c r="O362" s="510"/>
      <c r="P362" s="497"/>
      <c r="Q362" s="572"/>
      <c r="R362" s="130"/>
      <c r="S362" s="178"/>
      <c r="T362" s="178"/>
      <c r="U362" s="178"/>
      <c r="V362" s="178" t="str">
        <f t="shared" si="162"/>
        <v/>
      </c>
      <c r="W362" s="178"/>
      <c r="X362" s="178"/>
      <c r="Y362" s="178"/>
      <c r="Z362" s="131" t="str">
        <f>IFERROR(IF(AND(S361="Probabilidad",S362="Probabilidad"),(Z361-(+Z361*V362)),IF(S362="Probabilidad",(L361-(+L361*V362)),IF(S362="Impacto",Z361,""))),"")</f>
        <v/>
      </c>
      <c r="AA362" s="219"/>
      <c r="AB362" s="219"/>
      <c r="AC362" s="497"/>
      <c r="AD362" s="182" t="str">
        <f t="shared" ref="AD362:AD365" si="163">IFERROR(IF(AND(S361="Impacto",V362="Impacto"),(AD361-(+AD361*V362)),IF(S362="Impacto",(O361-(+O361*V362)),IF(S362="Probabilidad",AD361,""))),"")</f>
        <v/>
      </c>
      <c r="AE362" s="219"/>
      <c r="AF362" s="219"/>
      <c r="AG362" s="497"/>
      <c r="AH362" s="497"/>
      <c r="AI362" s="497"/>
      <c r="AJ362" s="172"/>
      <c r="AK362" s="172"/>
      <c r="AL362" s="163"/>
      <c r="AM362" s="172"/>
      <c r="AN362" s="172"/>
      <c r="AO362" s="172"/>
      <c r="AP362" s="497"/>
      <c r="AQ362" s="537"/>
      <c r="FM362" s="89"/>
    </row>
    <row r="363" spans="1:173" s="78" customFormat="1" ht="13.5" customHeight="1" x14ac:dyDescent="0.25">
      <c r="A363" s="447"/>
      <c r="B363" s="126" t="s">
        <v>633</v>
      </c>
      <c r="C363" s="325"/>
      <c r="D363" s="441"/>
      <c r="E363" s="441"/>
      <c r="F363" s="441"/>
      <c r="G363" s="438"/>
      <c r="H363" s="200"/>
      <c r="I363" s="497"/>
      <c r="J363" s="497"/>
      <c r="K363" s="497"/>
      <c r="L363" s="497"/>
      <c r="M363" s="497"/>
      <c r="N363" s="497"/>
      <c r="O363" s="510"/>
      <c r="P363" s="497"/>
      <c r="Q363" s="572"/>
      <c r="R363" s="130"/>
      <c r="S363" s="178"/>
      <c r="T363" s="178"/>
      <c r="U363" s="178"/>
      <c r="V363" s="178" t="str">
        <f t="shared" si="162"/>
        <v/>
      </c>
      <c r="W363" s="178"/>
      <c r="X363" s="178"/>
      <c r="Y363" s="178"/>
      <c r="Z363" s="131" t="str">
        <f>IFERROR(IF(AND(S362="Probabilidad",S363="Probabilidad"),(Z362-(+Z362*V363)),IF(S363="Probabilidad",(L362-(+L362*V363)),IF(S363="Impacto",Z362,""))),"")</f>
        <v/>
      </c>
      <c r="AA363" s="219"/>
      <c r="AB363" s="219"/>
      <c r="AC363" s="497"/>
      <c r="AD363" s="182" t="str">
        <f t="shared" si="163"/>
        <v/>
      </c>
      <c r="AE363" s="219"/>
      <c r="AF363" s="219"/>
      <c r="AG363" s="497"/>
      <c r="AH363" s="497"/>
      <c r="AI363" s="497"/>
      <c r="AJ363" s="172"/>
      <c r="AK363" s="172"/>
      <c r="AL363" s="163"/>
      <c r="AM363" s="172"/>
      <c r="AN363" s="172"/>
      <c r="AO363" s="172"/>
      <c r="AP363" s="497"/>
      <c r="AQ363" s="537"/>
      <c r="FM363" s="89"/>
    </row>
    <row r="364" spans="1:173" s="78" customFormat="1" ht="13.5" customHeight="1" x14ac:dyDescent="0.25">
      <c r="A364" s="447"/>
      <c r="B364" s="126" t="s">
        <v>633</v>
      </c>
      <c r="C364" s="325"/>
      <c r="D364" s="441"/>
      <c r="E364" s="441"/>
      <c r="F364" s="441"/>
      <c r="G364" s="438"/>
      <c r="H364" s="200"/>
      <c r="I364" s="497"/>
      <c r="J364" s="497"/>
      <c r="K364" s="497"/>
      <c r="L364" s="497"/>
      <c r="M364" s="497"/>
      <c r="N364" s="497"/>
      <c r="O364" s="510"/>
      <c r="P364" s="497"/>
      <c r="Q364" s="572"/>
      <c r="R364" s="130"/>
      <c r="S364" s="178"/>
      <c r="T364" s="178"/>
      <c r="U364" s="178"/>
      <c r="V364" s="178" t="str">
        <f t="shared" si="162"/>
        <v/>
      </c>
      <c r="W364" s="178"/>
      <c r="X364" s="178"/>
      <c r="Y364" s="178"/>
      <c r="Z364" s="131" t="str">
        <f>IFERROR(IF(AND(S363="Probabilidad",S364="Probabilidad"),(Z363-(+Z363*V364)),IF(S364="Probabilidad",(L363-(+L363*V364)),IF(S364="Impacto",Z363,""))),"")</f>
        <v/>
      </c>
      <c r="AA364" s="219"/>
      <c r="AB364" s="219"/>
      <c r="AC364" s="497"/>
      <c r="AD364" s="182" t="str">
        <f t="shared" si="163"/>
        <v/>
      </c>
      <c r="AE364" s="219"/>
      <c r="AF364" s="219"/>
      <c r="AG364" s="497"/>
      <c r="AH364" s="497"/>
      <c r="AI364" s="497"/>
      <c r="AJ364" s="172"/>
      <c r="AK364" s="172"/>
      <c r="AL364" s="163"/>
      <c r="AM364" s="172"/>
      <c r="AN364" s="172"/>
      <c r="AO364" s="172"/>
      <c r="AP364" s="497"/>
      <c r="AQ364" s="537"/>
      <c r="FM364" s="89"/>
    </row>
    <row r="365" spans="1:173" s="78" customFormat="1" ht="13.5" customHeight="1" x14ac:dyDescent="0.25">
      <c r="A365" s="460"/>
      <c r="B365" s="126" t="s">
        <v>633</v>
      </c>
      <c r="C365" s="459"/>
      <c r="D365" s="458"/>
      <c r="E365" s="458"/>
      <c r="F365" s="458"/>
      <c r="G365" s="457"/>
      <c r="H365" s="201"/>
      <c r="I365" s="498"/>
      <c r="J365" s="498"/>
      <c r="K365" s="498"/>
      <c r="L365" s="498"/>
      <c r="M365" s="498"/>
      <c r="N365" s="498"/>
      <c r="O365" s="511"/>
      <c r="P365" s="498"/>
      <c r="Q365" s="572"/>
      <c r="R365" s="130"/>
      <c r="S365" s="178"/>
      <c r="T365" s="178"/>
      <c r="U365" s="178"/>
      <c r="V365" s="178" t="str">
        <f t="shared" si="162"/>
        <v/>
      </c>
      <c r="W365" s="178"/>
      <c r="X365" s="178"/>
      <c r="Y365" s="178"/>
      <c r="Z365" s="131" t="str">
        <f>IFERROR(IF(AND(S364="Probabilidad",S365="Probabilidad"),(Z364-(+Z364*V365)),IF(S365="Probabilidad",(L364-(+L364*V365)),IF(S365="Impacto",Z364,""))),"")</f>
        <v/>
      </c>
      <c r="AA365" s="220"/>
      <c r="AB365" s="220"/>
      <c r="AC365" s="498"/>
      <c r="AD365" s="182" t="str">
        <f t="shared" si="163"/>
        <v/>
      </c>
      <c r="AE365" s="220"/>
      <c r="AF365" s="220"/>
      <c r="AG365" s="498"/>
      <c r="AH365" s="498"/>
      <c r="AI365" s="498"/>
      <c r="AJ365" s="172"/>
      <c r="AK365" s="172"/>
      <c r="AL365" s="163"/>
      <c r="AM365" s="172"/>
      <c r="AN365" s="172"/>
      <c r="AO365" s="172"/>
      <c r="AP365" s="498"/>
      <c r="AQ365" s="538"/>
      <c r="FM365" s="89"/>
      <c r="FQ365" s="79"/>
    </row>
    <row r="366" spans="1:173" s="78" customFormat="1" ht="14.25" customHeight="1" x14ac:dyDescent="0.25">
      <c r="A366" s="446">
        <v>67</v>
      </c>
      <c r="B366" s="126" t="s">
        <v>633</v>
      </c>
      <c r="C366" s="444" t="s">
        <v>248</v>
      </c>
      <c r="D366" s="440" t="s">
        <v>654</v>
      </c>
      <c r="E366" s="440" t="s">
        <v>655</v>
      </c>
      <c r="F366" s="440" t="s">
        <v>656</v>
      </c>
      <c r="G366" s="437" t="s">
        <v>149</v>
      </c>
      <c r="H366" s="199" t="s">
        <v>150</v>
      </c>
      <c r="I366" s="496" t="s">
        <v>151</v>
      </c>
      <c r="J366" s="496">
        <f>500*12</f>
        <v>6000</v>
      </c>
      <c r="K366" s="496" t="str">
        <f>IF(AND(J366&lt;=2),"Muy Baja",IF(AND(J366&gt;=3,J366&lt;=23),"Baja",IF(AND(J366&gt;=24,J366&lt;=499),"Media",IF(AND(J366&gt;=500,J366&lt;=4999),"Alta",IF(AND(J366&gt;=5000),"Muy Alta",FALSE)))))</f>
        <v>Muy Alta</v>
      </c>
      <c r="L366" s="496" t="str">
        <f>IF(AND(J366&lt;=2),"20%",IF(AND(J366&gt;=3,J366&lt;=23),"40%",IF(AND(J366&gt;=24,J366&lt;=499),"60%",IF(AND(J366&gt;=500,J366&lt;=4999),"80%",IF(AND(J366&gt;=5000),"100%",FALSE)))))</f>
        <v>100%</v>
      </c>
      <c r="M366" s="496" t="s">
        <v>162</v>
      </c>
      <c r="N366" s="496" t="str">
        <f>IF(AND(M366=$FQ$4),"Leve",IF(AND(M366=$FQ$5),"Menor",IF(AND(M366=$FQ$6),"Moderado",IF(AND(M366=$FQ$7),"mayor",IF(AND(M366=$FQ$8),"Catastrófico",IF(AND(M366=$FQ$10),"Leve",IF(AND(M366=$FQ$11),"Menor",IF(AND(M366=$FQ$12),"Moderado",IF(AND(M366=$FQ$13),"Mayor",IF(AND(M366=$FQ$14),"Catastrófico",FALSE))))))))))</f>
        <v>Moderado</v>
      </c>
      <c r="O366" s="509" t="str">
        <f>IF(AND(N366="Leve"),"20%",IF(AND(N366="Menor"),"40%",IF(AND(N366="Moderado"),"60%",IF(AND(N366="Mayor"),"80%",IF(AND(N366="Catastrófico"),"100%","")))))</f>
        <v>60%</v>
      </c>
      <c r="P366" s="496" t="str">
        <f>INDEX('[8]MATRIZ RIESGO'!$D$6:$H$10,MATCH(K366,'[8]MATRIZ RIESGO'!$C$6:$C$10,),MATCH(N366,'[8]MATRIZ RIESGO'!$D$5:$H$5,))</f>
        <v>Alto</v>
      </c>
      <c r="Q366" s="572">
        <v>1</v>
      </c>
      <c r="R366" s="130" t="s">
        <v>657</v>
      </c>
      <c r="S366" s="178" t="s">
        <v>237</v>
      </c>
      <c r="T366" s="178" t="s">
        <v>152</v>
      </c>
      <c r="U366" s="178" t="s">
        <v>171</v>
      </c>
      <c r="V366" s="178" t="str">
        <f>IF(AND(T366=$FS$2,U366=$FT$2),"50%",IF(AND(T366=$FS$2,U366=$FT$3),"40%",IF(AND(T366=$FS$3,U366=$FT$2),"40%",IF(AND(T366=$FS$3,U366=$FT$3),"30%",IF(AND(T366=$FS$4,U366=$FT$2),"35%",IF(AND(T366=$FS$4,U366=$FT$3),"25%",""))))))</f>
        <v>50%</v>
      </c>
      <c r="W366" s="178" t="s">
        <v>154</v>
      </c>
      <c r="X366" s="178" t="s">
        <v>155</v>
      </c>
      <c r="Y366" s="178" t="s">
        <v>156</v>
      </c>
      <c r="Z366" s="131">
        <f>IFERROR(IF(S366="Probabilidad",(L366-(+L366*V366)),IF(S366="Impacto",L366,"")),"")</f>
        <v>0.5</v>
      </c>
      <c r="AA366" s="218">
        <f>LOOKUP(2,1/(Z366:Z371&lt;&gt;""),Z366:Z371)</f>
        <v>7.4999999999999997E-2</v>
      </c>
      <c r="AB366" s="218">
        <f t="shared" ref="AB366" si="164">AA366*1</f>
        <v>7.4999999999999997E-2</v>
      </c>
      <c r="AC366" s="496" t="str">
        <f t="shared" ref="AC366" si="165">IF(AND(AB366&lt;=20%),"Muy Baja",IF(AND(AB366&gt;=21%,AB366&lt;=40%),"Baja",IF(AND(AB366&gt;=41%,AB366&lt;=60%),"Media",IF(AND(AB366&gt;=61%,AB366&lt;=80%),"Alta",IF(AND(AB366&gt;=81%,AB366&gt;=100%),"Muy Alta",FALSE)))))</f>
        <v>Muy Baja</v>
      </c>
      <c r="AD366" s="182" t="str">
        <f>IFERROR(IF(S366="Impacto",(O366-(+O366*V366)),IF(S366="Probabilidad",O366,"")),"")</f>
        <v>60%</v>
      </c>
      <c r="AE366" s="218" t="str">
        <f>LOOKUP(2,1/(AD366:AD371&lt;&gt;""),AD366:AD371)</f>
        <v>60%</v>
      </c>
      <c r="AF366" s="218">
        <f>AE366*1</f>
        <v>0.6</v>
      </c>
      <c r="AG366" s="496" t="str">
        <f t="shared" ref="AG366" si="166">CHOOSE((AF366&gt;=0%)+(AF366&gt;=21%)+(AF366&gt;=41%)+(AF366&gt;=61%)+(AF366&gt;=81%),"Leve","Menor","Moderado","Mayor","Catastrófico")</f>
        <v>Moderado</v>
      </c>
      <c r="AH366" s="496" t="str">
        <f>INDEX('[8]MATRIZ RIESGO'!$D$6:$H$10,MATCH(AC366,'[8]MATRIZ RIESGO'!$C$6:$C$10,),MATCH(AG366,'[8]MATRIZ RIESGO'!$D$5:$H$5,))</f>
        <v>Moderado</v>
      </c>
      <c r="AI366" s="496" t="s">
        <v>111</v>
      </c>
      <c r="AJ366" s="172"/>
      <c r="AK366" s="172"/>
      <c r="AL366" s="123"/>
      <c r="AM366" s="172"/>
      <c r="AN366" s="172"/>
      <c r="AO366" s="172"/>
      <c r="AP366" s="496" t="s">
        <v>658</v>
      </c>
      <c r="AQ366" s="539" t="s">
        <v>113</v>
      </c>
      <c r="FM366" s="89"/>
      <c r="FQ366" s="80"/>
    </row>
    <row r="367" spans="1:173" s="78" customFormat="1" ht="14.25" customHeight="1" x14ac:dyDescent="0.25">
      <c r="A367" s="447"/>
      <c r="B367" s="126" t="s">
        <v>633</v>
      </c>
      <c r="C367" s="325"/>
      <c r="D367" s="441"/>
      <c r="E367" s="441"/>
      <c r="F367" s="441"/>
      <c r="G367" s="438"/>
      <c r="H367" s="200"/>
      <c r="I367" s="497"/>
      <c r="J367" s="497"/>
      <c r="K367" s="497"/>
      <c r="L367" s="497"/>
      <c r="M367" s="497"/>
      <c r="N367" s="497"/>
      <c r="O367" s="510"/>
      <c r="P367" s="497"/>
      <c r="Q367" s="572">
        <v>2</v>
      </c>
      <c r="R367" s="130" t="s">
        <v>659</v>
      </c>
      <c r="S367" s="178" t="s">
        <v>237</v>
      </c>
      <c r="T367" s="178" t="s">
        <v>152</v>
      </c>
      <c r="U367" s="178" t="s">
        <v>171</v>
      </c>
      <c r="V367" s="178" t="str">
        <f t="shared" ref="V367:V371" si="167">IF(AND(T367=$FS$2,U367=$FT$2),"50%",IF(AND(T367=$FS$2,U367=$FT$3),"40%",IF(AND(T367=$FS$3,U367=$FT$2),"40%",IF(AND(T367=$FS$3,U367=$FT$3),"30%",IF(AND(T367=$FS$4,U367=$FT$2),"35%",IF(AND(T367=$FS$4,U367=$FT$3),"25%",""))))))</f>
        <v>50%</v>
      </c>
      <c r="W367" s="178" t="s">
        <v>161</v>
      </c>
      <c r="X367" s="178" t="s">
        <v>155</v>
      </c>
      <c r="Y367" s="178" t="s">
        <v>156</v>
      </c>
      <c r="Z367" s="131">
        <f>IFERROR(IF(AND(S366="Probabilidad",S367="Probabilidad"),(Z366-(+Z366*V367)),IF(S367="Probabilidad",(L366-(+L366*V367)),IF(S367="Impacto",Z366,""))),"")</f>
        <v>0.25</v>
      </c>
      <c r="AA367" s="219"/>
      <c r="AB367" s="219"/>
      <c r="AC367" s="497"/>
      <c r="AD367" s="182" t="str">
        <f>IFERROR(IF(AND(S366="Impacto",V367="Impacto"),(AD366-(+AD366*V367)),IF(S367="Impacto",(O366-(+O366*V367)),IF(S367="Probabilidad",AD366,""))),"")</f>
        <v>60%</v>
      </c>
      <c r="AE367" s="219"/>
      <c r="AF367" s="219"/>
      <c r="AG367" s="497"/>
      <c r="AH367" s="497"/>
      <c r="AI367" s="497"/>
      <c r="AJ367" s="172"/>
      <c r="AK367" s="172"/>
      <c r="AL367" s="123"/>
      <c r="AM367" s="172"/>
      <c r="AN367" s="172"/>
      <c r="AO367" s="172"/>
      <c r="AP367" s="497"/>
      <c r="AQ367" s="537"/>
      <c r="FM367" s="89"/>
    </row>
    <row r="368" spans="1:173" s="78" customFormat="1" ht="14.25" customHeight="1" x14ac:dyDescent="0.25">
      <c r="A368" s="447"/>
      <c r="B368" s="126" t="s">
        <v>633</v>
      </c>
      <c r="C368" s="325"/>
      <c r="D368" s="441"/>
      <c r="E368" s="441"/>
      <c r="F368" s="441"/>
      <c r="G368" s="438"/>
      <c r="H368" s="200"/>
      <c r="I368" s="497"/>
      <c r="J368" s="497"/>
      <c r="K368" s="497"/>
      <c r="L368" s="497"/>
      <c r="M368" s="497"/>
      <c r="N368" s="497"/>
      <c r="O368" s="510"/>
      <c r="P368" s="497"/>
      <c r="Q368" s="572">
        <v>3</v>
      </c>
      <c r="R368" s="130" t="s">
        <v>858</v>
      </c>
      <c r="S368" s="178" t="s">
        <v>237</v>
      </c>
      <c r="T368" s="178" t="s">
        <v>152</v>
      </c>
      <c r="U368" s="178" t="s">
        <v>171</v>
      </c>
      <c r="V368" s="178" t="str">
        <f t="shared" si="167"/>
        <v>50%</v>
      </c>
      <c r="W368" s="178" t="s">
        <v>161</v>
      </c>
      <c r="X368" s="178" t="s">
        <v>155</v>
      </c>
      <c r="Y368" s="178" t="s">
        <v>156</v>
      </c>
      <c r="Z368" s="131">
        <f>IFERROR(IF(AND(S367="Probabilidad",S368="Probabilidad"),(Z367-(+Z367*V368)),IF(S368="Probabilidad",(L367-(+L367*V368)),IF(S368="Impacto",Z367,""))),"")</f>
        <v>0.125</v>
      </c>
      <c r="AA368" s="219"/>
      <c r="AB368" s="219"/>
      <c r="AC368" s="497"/>
      <c r="AD368" s="182" t="str">
        <f t="shared" ref="AD368:AD371" si="168">IFERROR(IF(AND(S367="Impacto",V368="Impacto"),(AD367-(+AD367*V368)),IF(S368="Impacto",(O367-(+O367*V368)),IF(S368="Probabilidad",AD367,""))),"")</f>
        <v>60%</v>
      </c>
      <c r="AE368" s="219"/>
      <c r="AF368" s="219"/>
      <c r="AG368" s="497"/>
      <c r="AH368" s="497"/>
      <c r="AI368" s="497"/>
      <c r="AJ368" s="172"/>
      <c r="AK368" s="172"/>
      <c r="AL368" s="163"/>
      <c r="AM368" s="172"/>
      <c r="AN368" s="172"/>
      <c r="AO368" s="172"/>
      <c r="AP368" s="497"/>
      <c r="AQ368" s="537"/>
      <c r="FM368" s="89"/>
    </row>
    <row r="369" spans="1:181" s="78" customFormat="1" ht="14.25" customHeight="1" x14ac:dyDescent="0.25">
      <c r="A369" s="447"/>
      <c r="B369" s="126" t="s">
        <v>633</v>
      </c>
      <c r="C369" s="325"/>
      <c r="D369" s="441"/>
      <c r="E369" s="441"/>
      <c r="F369" s="441"/>
      <c r="G369" s="438"/>
      <c r="H369" s="200"/>
      <c r="I369" s="497"/>
      <c r="J369" s="497"/>
      <c r="K369" s="497"/>
      <c r="L369" s="497"/>
      <c r="M369" s="497"/>
      <c r="N369" s="497"/>
      <c r="O369" s="510"/>
      <c r="P369" s="497"/>
      <c r="Q369" s="572">
        <v>4</v>
      </c>
      <c r="R369" s="130" t="s">
        <v>660</v>
      </c>
      <c r="S369" s="178" t="s">
        <v>237</v>
      </c>
      <c r="T369" s="178" t="s">
        <v>152</v>
      </c>
      <c r="U369" s="178" t="s">
        <v>153</v>
      </c>
      <c r="V369" s="178" t="str">
        <f t="shared" si="167"/>
        <v>40%</v>
      </c>
      <c r="W369" s="178" t="s">
        <v>161</v>
      </c>
      <c r="X369" s="178" t="s">
        <v>155</v>
      </c>
      <c r="Y369" s="178" t="s">
        <v>156</v>
      </c>
      <c r="Z369" s="131">
        <f>IFERROR(IF(AND(S368="Probabilidad",S369="Probabilidad"),(Z368-(+Z368*V369)),IF(S369="Probabilidad",(L368-(+L368*V369)),IF(S369="Impacto",Z368,""))),"")</f>
        <v>7.4999999999999997E-2</v>
      </c>
      <c r="AA369" s="219"/>
      <c r="AB369" s="219"/>
      <c r="AC369" s="497"/>
      <c r="AD369" s="182" t="str">
        <f t="shared" si="168"/>
        <v>60%</v>
      </c>
      <c r="AE369" s="219"/>
      <c r="AF369" s="219"/>
      <c r="AG369" s="497"/>
      <c r="AH369" s="497"/>
      <c r="AI369" s="497"/>
      <c r="AJ369" s="172"/>
      <c r="AK369" s="172"/>
      <c r="AL369" s="163"/>
      <c r="AM369" s="172"/>
      <c r="AN369" s="172"/>
      <c r="AO369" s="172"/>
      <c r="AP369" s="497"/>
      <c r="AQ369" s="537"/>
      <c r="FM369" s="89"/>
    </row>
    <row r="370" spans="1:181" s="78" customFormat="1" ht="14.25" customHeight="1" x14ac:dyDescent="0.25">
      <c r="A370" s="447"/>
      <c r="B370" s="126" t="s">
        <v>633</v>
      </c>
      <c r="C370" s="325"/>
      <c r="D370" s="441"/>
      <c r="E370" s="441"/>
      <c r="F370" s="441"/>
      <c r="G370" s="438"/>
      <c r="H370" s="200"/>
      <c r="I370" s="497"/>
      <c r="J370" s="497"/>
      <c r="K370" s="497"/>
      <c r="L370" s="497"/>
      <c r="M370" s="497"/>
      <c r="N370" s="497"/>
      <c r="O370" s="510"/>
      <c r="P370" s="497"/>
      <c r="Q370" s="572"/>
      <c r="R370" s="130"/>
      <c r="S370" s="178"/>
      <c r="T370" s="178"/>
      <c r="U370" s="178"/>
      <c r="V370" s="178" t="str">
        <f t="shared" si="167"/>
        <v/>
      </c>
      <c r="W370" s="178"/>
      <c r="X370" s="178"/>
      <c r="Y370" s="178"/>
      <c r="Z370" s="131" t="str">
        <f>IFERROR(IF(AND(S369="Probabilidad",S370="Probabilidad"),(Z369-(+Z369*V370)),IF(S370="Probabilidad",(L369-(+L369*V370)),IF(S370="Impacto",Z369,""))),"")</f>
        <v/>
      </c>
      <c r="AA370" s="219"/>
      <c r="AB370" s="219"/>
      <c r="AC370" s="497"/>
      <c r="AD370" s="182" t="str">
        <f t="shared" si="168"/>
        <v/>
      </c>
      <c r="AE370" s="219"/>
      <c r="AF370" s="219"/>
      <c r="AG370" s="497"/>
      <c r="AH370" s="497"/>
      <c r="AI370" s="497"/>
      <c r="AJ370" s="172"/>
      <c r="AK370" s="172"/>
      <c r="AL370" s="163"/>
      <c r="AM370" s="172"/>
      <c r="AN370" s="172"/>
      <c r="AO370" s="172"/>
      <c r="AP370" s="497"/>
      <c r="AQ370" s="537"/>
      <c r="FM370" s="89"/>
    </row>
    <row r="371" spans="1:181" s="78" customFormat="1" ht="14.25" customHeight="1" x14ac:dyDescent="0.2">
      <c r="A371" s="460"/>
      <c r="B371" s="126" t="s">
        <v>633</v>
      </c>
      <c r="C371" s="459"/>
      <c r="D371" s="458"/>
      <c r="E371" s="458"/>
      <c r="F371" s="458"/>
      <c r="G371" s="457"/>
      <c r="H371" s="201"/>
      <c r="I371" s="498"/>
      <c r="J371" s="498"/>
      <c r="K371" s="498"/>
      <c r="L371" s="498"/>
      <c r="M371" s="498"/>
      <c r="N371" s="498"/>
      <c r="O371" s="511"/>
      <c r="P371" s="498"/>
      <c r="Q371" s="572"/>
      <c r="R371" s="130"/>
      <c r="S371" s="178"/>
      <c r="T371" s="178"/>
      <c r="U371" s="178"/>
      <c r="V371" s="178" t="str">
        <f t="shared" si="167"/>
        <v/>
      </c>
      <c r="W371" s="178"/>
      <c r="X371" s="178"/>
      <c r="Y371" s="178"/>
      <c r="Z371" s="131" t="str">
        <f>IFERROR(IF(AND(S370="Probabilidad",S371="Probabilidad"),(Z370-(+Z370*V371)),IF(S371="Probabilidad",(L370-(+L370*V371)),IF(S371="Impacto",Z370,""))),"")</f>
        <v/>
      </c>
      <c r="AA371" s="220"/>
      <c r="AB371" s="220"/>
      <c r="AC371" s="498"/>
      <c r="AD371" s="182" t="str">
        <f t="shared" si="168"/>
        <v/>
      </c>
      <c r="AE371" s="220"/>
      <c r="AF371" s="220"/>
      <c r="AG371" s="498"/>
      <c r="AH371" s="498"/>
      <c r="AI371" s="498"/>
      <c r="AJ371" s="172"/>
      <c r="AK371" s="172"/>
      <c r="AL371" s="163"/>
      <c r="AM371" s="172"/>
      <c r="AN371" s="172"/>
      <c r="AO371" s="172"/>
      <c r="AP371" s="498"/>
      <c r="AQ371" s="538"/>
      <c r="FM371" s="90"/>
      <c r="FN371" s="87"/>
      <c r="FO371" s="87"/>
      <c r="FP371" s="87"/>
      <c r="FQ371" s="87"/>
      <c r="FR371" s="87"/>
      <c r="FS371" s="87"/>
      <c r="FT371" s="87"/>
      <c r="FU371" s="87"/>
      <c r="FV371" s="87"/>
      <c r="FW371" s="87"/>
      <c r="FX371" s="87"/>
      <c r="FY371" s="87"/>
    </row>
    <row r="372" spans="1:181" s="78" customFormat="1" ht="13.5" customHeight="1" x14ac:dyDescent="0.25">
      <c r="A372" s="487">
        <v>69</v>
      </c>
      <c r="B372" s="110" t="s">
        <v>727</v>
      </c>
      <c r="C372" s="487" t="s">
        <v>248</v>
      </c>
      <c r="D372" s="487" t="s">
        <v>669</v>
      </c>
      <c r="E372" s="487" t="s">
        <v>670</v>
      </c>
      <c r="F372" s="487" t="s">
        <v>671</v>
      </c>
      <c r="G372" s="487" t="s">
        <v>149</v>
      </c>
      <c r="H372" s="208" t="s">
        <v>270</v>
      </c>
      <c r="I372" s="208" t="s">
        <v>83</v>
      </c>
      <c r="J372" s="208">
        <f>3077+8279</f>
        <v>11356</v>
      </c>
      <c r="K372" s="485" t="str">
        <f>IF(AND(J372&lt;=2),"Muy Baja",IF(AND(J372&gt;=3,J372&lt;=23),"Baja",IF(AND(J372&gt;=24,J372&lt;=499),"Media",IF(AND(J372&gt;=500,J372&lt;=4999),"Alta",IF(AND(J372&gt;=5000),"Muy Alta",FALSE)))))</f>
        <v>Muy Alta</v>
      </c>
      <c r="L372" s="485" t="str">
        <f>IF(AND(J372&lt;=2),"20%",IF(AND(J372&gt;=3,J372&lt;=23),"40%",IF(AND(J372&gt;=24,J372&lt;=499),"60%",IF(AND(J372&gt;=500,J372&lt;=4999),"80%",IF(AND(J372&gt;=5000),"100%",FALSE)))))</f>
        <v>100%</v>
      </c>
      <c r="M372" s="485" t="s">
        <v>162</v>
      </c>
      <c r="N372" s="485" t="str">
        <f>IF(AND(M372=$FQ$4),"Leve",IF(AND(M372=$FQ$5),"Menor",IF(AND(M372=$FQ$6),"Moderado",IF(AND(M372=$FQ$7),"mayor",IF(AND(M372=$FQ$8),"Catastrófico",IF(AND(M372=$FQ$10),"Leve",IF(AND(M372=$FQ$11),"Menor",IF(AND(M372=$FQ$12),"Moderado",IF(AND(M372=$FQ$13),"Mayor",IF(AND(M372=$FQ$14),"Catastrófico",FALSE))))))))))</f>
        <v>Moderado</v>
      </c>
      <c r="O372" s="490" t="str">
        <f>IF(AND(N372="Leve"),"20%",IF(AND(N372="Menor"),"40%",IF(AND(N372="Moderado"),"60%",IF(AND(N372="Mayor"),"80%",IF(AND(N372="Catastrófico"),"100%","")))))</f>
        <v>60%</v>
      </c>
      <c r="P372" s="485" t="str">
        <f>INDEX('[9]MATRIZ RIESGO'!$D$6:$H$10,MATCH(K372,'[9]MATRIZ RIESGO'!$C$6:$C$10,),MATCH(N372,'[9]MATRIZ RIESGO'!$D$5:$H$5,))</f>
        <v>Alto</v>
      </c>
      <c r="Q372" s="110">
        <v>1</v>
      </c>
      <c r="R372" s="110" t="s">
        <v>672</v>
      </c>
      <c r="S372" s="176" t="s">
        <v>237</v>
      </c>
      <c r="T372" s="176" t="s">
        <v>152</v>
      </c>
      <c r="U372" s="176" t="s">
        <v>153</v>
      </c>
      <c r="V372" s="176" t="str">
        <f>IF(AND(T372=$FS$2,U372=$FT$2),"50%",IF(AND(T372=$FS$2,U372=$FT$3),"40%",IF(AND(T372=$FS$3,U372=$FT$2),"40%",IF(AND(T372=$FS$3,U372=$FT$3),"30%",IF(AND(T372=$FS$4,U372=$FT$2),"35%",IF(AND(T372=$FS$4,U372=$FT$3),"25%",""))))))</f>
        <v>40%</v>
      </c>
      <c r="W372" s="176" t="s">
        <v>154</v>
      </c>
      <c r="X372" s="176" t="s">
        <v>155</v>
      </c>
      <c r="Y372" s="176" t="s">
        <v>156</v>
      </c>
      <c r="Z372" s="129">
        <f>IFERROR(IF(S372="Probabilidad",(L372-(+L372*V372)),IF(S372="Impacto",L372,"")),"")</f>
        <v>0.6</v>
      </c>
      <c r="AA372" s="488">
        <f>LOOKUP(2,1/(Z372:Z377&lt;&gt;""),Z372:Z377)</f>
        <v>0.6</v>
      </c>
      <c r="AB372" s="488">
        <f>AA372*1</f>
        <v>0.6</v>
      </c>
      <c r="AC372" s="485" t="str">
        <f>IF(AND(AB372&lt;=20%),"Muy Baja",IF(AND(AB372&gt;=21%,AB372&lt;=40%),"Baja",IF(AND(AB372&gt;=41%,AB372&lt;=60%),"Media",IF(AND(AB372&gt;=61%,AB372&lt;=80%),"Alta",IF(AND(AB372&gt;=81%,AB372&gt;=100%),"Muy Alta",FALSE)))))</f>
        <v>Media</v>
      </c>
      <c r="AD372" s="177" t="str">
        <f>IFERROR(IF(S372="Impacto",(O372-(+O372*V372)),IF(S372="Probabilidad",O372,"")),"")</f>
        <v>60%</v>
      </c>
      <c r="AE372" s="488" t="str">
        <f>LOOKUP(2,1/(AD372:AD377&lt;&gt;""),AD372:AD377)</f>
        <v>60%</v>
      </c>
      <c r="AF372" s="488">
        <f>AE372*1</f>
        <v>0.6</v>
      </c>
      <c r="AG372" s="485" t="str">
        <f>CHOOSE((AF372&gt;=0%)+(AF372&gt;=21%)+(AF372&gt;=41%)+(AF372&gt;=61%)+(AF372&gt;=81%),"Leve","Menor","Moderado","Mayor","Catastrófico")</f>
        <v>Moderado</v>
      </c>
      <c r="AH372" s="485" t="str">
        <f>INDEX('[9]MATRIZ RIESGO'!$D$6:$H$10,MATCH(AC372,'[9]MATRIZ RIESGO'!$C$6:$C$10,),MATCH(AG372,'[9]MATRIZ RIESGO'!$D$5:$H$5,))</f>
        <v>Moderado</v>
      </c>
      <c r="AI372" s="208" t="s">
        <v>111</v>
      </c>
      <c r="AJ372" s="110"/>
      <c r="AK372" s="110"/>
      <c r="AL372" s="111"/>
      <c r="AM372" s="110"/>
      <c r="AN372" s="110"/>
      <c r="AO372" s="176"/>
      <c r="AP372" s="496" t="s">
        <v>673</v>
      </c>
      <c r="AQ372" s="539" t="s">
        <v>113</v>
      </c>
      <c r="FM372" s="89"/>
      <c r="FP372" s="78" t="s">
        <v>255</v>
      </c>
      <c r="FQ372" s="80" t="s">
        <v>256</v>
      </c>
    </row>
    <row r="373" spans="1:181" s="78" customFormat="1" ht="13.5" customHeight="1" x14ac:dyDescent="0.2">
      <c r="A373" s="206"/>
      <c r="B373" s="110" t="s">
        <v>727</v>
      </c>
      <c r="C373" s="206"/>
      <c r="D373" s="206"/>
      <c r="E373" s="206"/>
      <c r="F373" s="206"/>
      <c r="G373" s="206"/>
      <c r="H373" s="206"/>
      <c r="I373" s="206"/>
      <c r="J373" s="206"/>
      <c r="K373" s="475"/>
      <c r="L373" s="475"/>
      <c r="M373" s="475"/>
      <c r="N373" s="475"/>
      <c r="O373" s="481"/>
      <c r="P373" s="475"/>
      <c r="Q373" s="110"/>
      <c r="R373" s="110"/>
      <c r="S373" s="176"/>
      <c r="T373" s="176"/>
      <c r="U373" s="176"/>
      <c r="V373" s="176" t="str">
        <f t="shared" ref="V373:V377" si="169">IF(AND(T373=$FS$2,U373=$FT$2),"50%",IF(AND(T373=$FS$2,U373=$FT$3),"40%",IF(AND(T373=$FS$3,U373=$FT$2),"40%",IF(AND(T373=$FS$3,U373=$FT$3),"30%",IF(AND(T373=$FS$4,U373=$FT$2),"35%",IF(AND(T373=$FS$4,U373=$FT$3),"25%",""))))))</f>
        <v/>
      </c>
      <c r="W373" s="176"/>
      <c r="X373" s="176"/>
      <c r="Y373" s="176"/>
      <c r="Z373" s="129" t="str">
        <f>IFERROR(IF(AND(S372="Probabilidad",S373="Probabilidad"),(Z372-(+Z372*V373)),IF(S373="Probabilidad",(L372-(+L372*V373)),IF(S373="Impacto",Z372,""))),"")</f>
        <v/>
      </c>
      <c r="AA373" s="478"/>
      <c r="AB373" s="478"/>
      <c r="AC373" s="475"/>
      <c r="AD373" s="177" t="str">
        <f>IFERROR(IF(AND(S372="Impacto",V373="Impacto"),(AD372-(+AD372*V373)),IF(S373="Impacto",(O372-(+O372*V373)),IF(S373="Probabilidad",AD372,""))),"")</f>
        <v/>
      </c>
      <c r="AE373" s="478"/>
      <c r="AF373" s="478"/>
      <c r="AG373" s="475"/>
      <c r="AH373" s="475"/>
      <c r="AI373" s="206"/>
      <c r="AJ373" s="110"/>
      <c r="AK373" s="110"/>
      <c r="AL373" s="111"/>
      <c r="AM373" s="110"/>
      <c r="AN373" s="110"/>
      <c r="AO373" s="176"/>
      <c r="AP373" s="497"/>
      <c r="AQ373" s="537"/>
      <c r="FM373" s="89"/>
      <c r="FP373" s="78" t="s">
        <v>196</v>
      </c>
      <c r="FQ373" s="87" t="s">
        <v>158</v>
      </c>
    </row>
    <row r="374" spans="1:181" s="78" customFormat="1" ht="13.5" customHeight="1" x14ac:dyDescent="0.2">
      <c r="A374" s="206"/>
      <c r="B374" s="110" t="s">
        <v>727</v>
      </c>
      <c r="C374" s="206"/>
      <c r="D374" s="206"/>
      <c r="E374" s="206"/>
      <c r="F374" s="206"/>
      <c r="G374" s="206"/>
      <c r="H374" s="206"/>
      <c r="I374" s="206"/>
      <c r="J374" s="206"/>
      <c r="K374" s="475"/>
      <c r="L374" s="475"/>
      <c r="M374" s="475"/>
      <c r="N374" s="475"/>
      <c r="O374" s="481"/>
      <c r="P374" s="475"/>
      <c r="Q374" s="110"/>
      <c r="R374" s="110"/>
      <c r="S374" s="176"/>
      <c r="T374" s="176"/>
      <c r="U374" s="176"/>
      <c r="V374" s="176" t="str">
        <f t="shared" si="169"/>
        <v/>
      </c>
      <c r="W374" s="176"/>
      <c r="X374" s="176"/>
      <c r="Y374" s="176"/>
      <c r="Z374" s="129" t="str">
        <f>IFERROR(IF(AND(S373="Probabilidad",S374="Probabilidad"),(Z373-(+Z373*V374)),IF(S374="Probabilidad",(L373-(+L373*V374)),IF(S374="Impacto",Z373,""))),"")</f>
        <v/>
      </c>
      <c r="AA374" s="478"/>
      <c r="AB374" s="478"/>
      <c r="AC374" s="475"/>
      <c r="AD374" s="177" t="str">
        <f t="shared" ref="AD374:AD377" si="170">IFERROR(IF(AND(S373="Impacto",V374="Impacto"),(AD373-(+AD373*V374)),IF(S374="Impacto",(O373-(+O373*V374)),IF(S374="Probabilidad",AD373,""))),"")</f>
        <v/>
      </c>
      <c r="AE374" s="478"/>
      <c r="AF374" s="478"/>
      <c r="AG374" s="475"/>
      <c r="AH374" s="475"/>
      <c r="AI374" s="206"/>
      <c r="AJ374" s="110"/>
      <c r="AK374" s="110"/>
      <c r="AL374" s="111"/>
      <c r="AM374" s="110"/>
      <c r="AN374" s="110"/>
      <c r="AO374" s="176"/>
      <c r="AP374" s="497"/>
      <c r="AQ374" s="537"/>
      <c r="FM374" s="89"/>
      <c r="FQ374" s="87" t="s">
        <v>160</v>
      </c>
    </row>
    <row r="375" spans="1:181" s="78" customFormat="1" ht="13.5" customHeight="1" x14ac:dyDescent="0.2">
      <c r="A375" s="206"/>
      <c r="B375" s="110" t="s">
        <v>727</v>
      </c>
      <c r="C375" s="206"/>
      <c r="D375" s="206"/>
      <c r="E375" s="206"/>
      <c r="F375" s="206"/>
      <c r="G375" s="206"/>
      <c r="H375" s="206"/>
      <c r="I375" s="206"/>
      <c r="J375" s="206"/>
      <c r="K375" s="475"/>
      <c r="L375" s="475"/>
      <c r="M375" s="475"/>
      <c r="N375" s="475"/>
      <c r="O375" s="481"/>
      <c r="P375" s="475"/>
      <c r="Q375" s="110"/>
      <c r="R375" s="110"/>
      <c r="S375" s="176"/>
      <c r="T375" s="176"/>
      <c r="U375" s="176"/>
      <c r="V375" s="176" t="str">
        <f t="shared" si="169"/>
        <v/>
      </c>
      <c r="W375" s="176"/>
      <c r="X375" s="176"/>
      <c r="Y375" s="176"/>
      <c r="Z375" s="129" t="str">
        <f>IFERROR(IF(AND(S374="Probabilidad",S375="Probabilidad"),(Z374-(+Z374*V375)),IF(S375="Probabilidad",(L374-(+L374*V375)),IF(S375="Impacto",Z374,""))),"")</f>
        <v/>
      </c>
      <c r="AA375" s="478"/>
      <c r="AB375" s="478"/>
      <c r="AC375" s="475"/>
      <c r="AD375" s="177" t="str">
        <f t="shared" si="170"/>
        <v/>
      </c>
      <c r="AE375" s="478"/>
      <c r="AF375" s="478"/>
      <c r="AG375" s="475"/>
      <c r="AH375" s="475"/>
      <c r="AI375" s="206"/>
      <c r="AJ375" s="110"/>
      <c r="AK375" s="110"/>
      <c r="AL375" s="111"/>
      <c r="AM375" s="110"/>
      <c r="AN375" s="110"/>
      <c r="AO375" s="176"/>
      <c r="AP375" s="497"/>
      <c r="AQ375" s="537"/>
      <c r="FM375" s="89"/>
      <c r="FQ375" s="87" t="s">
        <v>162</v>
      </c>
    </row>
    <row r="376" spans="1:181" s="78" customFormat="1" ht="13.5" customHeight="1" x14ac:dyDescent="0.2">
      <c r="A376" s="206"/>
      <c r="B376" s="110" t="s">
        <v>727</v>
      </c>
      <c r="C376" s="206"/>
      <c r="D376" s="206"/>
      <c r="E376" s="206"/>
      <c r="F376" s="206"/>
      <c r="G376" s="206"/>
      <c r="H376" s="206"/>
      <c r="I376" s="206"/>
      <c r="J376" s="206"/>
      <c r="K376" s="475"/>
      <c r="L376" s="475"/>
      <c r="M376" s="475"/>
      <c r="N376" s="475"/>
      <c r="O376" s="481"/>
      <c r="P376" s="475"/>
      <c r="Q376" s="110"/>
      <c r="R376" s="110"/>
      <c r="S376" s="176"/>
      <c r="T376" s="176"/>
      <c r="U376" s="176"/>
      <c r="V376" s="176" t="str">
        <f t="shared" si="169"/>
        <v/>
      </c>
      <c r="W376" s="176"/>
      <c r="X376" s="176"/>
      <c r="Y376" s="176"/>
      <c r="Z376" s="129" t="str">
        <f>IFERROR(IF(AND(S375="Probabilidad",S376="Probabilidad"),(Z375-(+Z375*V376)),IF(S376="Probabilidad",(L375-(+L375*V376)),IF(S376="Impacto",Z375,""))),"")</f>
        <v/>
      </c>
      <c r="AA376" s="478"/>
      <c r="AB376" s="478"/>
      <c r="AC376" s="475"/>
      <c r="AD376" s="177" t="str">
        <f t="shared" si="170"/>
        <v/>
      </c>
      <c r="AE376" s="478"/>
      <c r="AF376" s="478"/>
      <c r="AG376" s="475"/>
      <c r="AH376" s="475"/>
      <c r="AI376" s="206"/>
      <c r="AJ376" s="110"/>
      <c r="AK376" s="110"/>
      <c r="AL376" s="111"/>
      <c r="AM376" s="110"/>
      <c r="AN376" s="110"/>
      <c r="AO376" s="176"/>
      <c r="AP376" s="497"/>
      <c r="AQ376" s="537"/>
      <c r="FM376" s="89"/>
      <c r="FQ376" s="87" t="s">
        <v>257</v>
      </c>
    </row>
    <row r="377" spans="1:181" s="78" customFormat="1" ht="13.5" customHeight="1" x14ac:dyDescent="0.2">
      <c r="A377" s="207"/>
      <c r="B377" s="110" t="s">
        <v>727</v>
      </c>
      <c r="C377" s="207"/>
      <c r="D377" s="207"/>
      <c r="E377" s="207"/>
      <c r="F377" s="207"/>
      <c r="G377" s="207"/>
      <c r="H377" s="207"/>
      <c r="I377" s="207"/>
      <c r="J377" s="207"/>
      <c r="K377" s="486"/>
      <c r="L377" s="486"/>
      <c r="M377" s="486"/>
      <c r="N377" s="486"/>
      <c r="O377" s="491"/>
      <c r="P377" s="486"/>
      <c r="Q377" s="110"/>
      <c r="R377" s="110"/>
      <c r="S377" s="176"/>
      <c r="T377" s="176"/>
      <c r="U377" s="176"/>
      <c r="V377" s="176" t="str">
        <f t="shared" si="169"/>
        <v/>
      </c>
      <c r="W377" s="176"/>
      <c r="X377" s="176"/>
      <c r="Y377" s="176"/>
      <c r="Z377" s="129" t="str">
        <f>IFERROR(IF(AND(S376="Probabilidad",S377="Probabilidad"),(Z376-(+Z376*V377)),IF(S377="Probabilidad",(L376-(+L376*V377)),IF(S377="Impacto",Z376,""))),"")</f>
        <v/>
      </c>
      <c r="AA377" s="489"/>
      <c r="AB377" s="489"/>
      <c r="AC377" s="486"/>
      <c r="AD377" s="177" t="str">
        <f t="shared" si="170"/>
        <v/>
      </c>
      <c r="AE377" s="489"/>
      <c r="AF377" s="489"/>
      <c r="AG377" s="486"/>
      <c r="AH377" s="486"/>
      <c r="AI377" s="207"/>
      <c r="AJ377" s="110"/>
      <c r="AK377" s="110"/>
      <c r="AL377" s="111"/>
      <c r="AM377" s="110"/>
      <c r="AN377" s="110"/>
      <c r="AO377" s="176"/>
      <c r="AP377" s="498"/>
      <c r="AQ377" s="538"/>
      <c r="FM377" s="89"/>
      <c r="FQ377" s="87" t="s">
        <v>170</v>
      </c>
    </row>
    <row r="378" spans="1:181" s="78" customFormat="1" ht="13.5" customHeight="1" x14ac:dyDescent="0.25">
      <c r="A378" s="205">
        <v>70</v>
      </c>
      <c r="B378" s="110" t="s">
        <v>727</v>
      </c>
      <c r="C378" s="205" t="s">
        <v>248</v>
      </c>
      <c r="D378" s="205" t="s">
        <v>674</v>
      </c>
      <c r="E378" s="205" t="s">
        <v>675</v>
      </c>
      <c r="F378" s="205" t="s">
        <v>676</v>
      </c>
      <c r="G378" s="205" t="s">
        <v>265</v>
      </c>
      <c r="H378" s="205" t="s">
        <v>255</v>
      </c>
      <c r="I378" s="205" t="s">
        <v>677</v>
      </c>
      <c r="J378" s="205">
        <v>15</v>
      </c>
      <c r="K378" s="474" t="str">
        <f>IF(AND(J378&lt;=2),"Muy Baja",IF(AND(J378&gt;=3,J378&lt;=23),"Baja",IF(AND(J378&gt;=24,J378&lt;=499),"Media",IF(AND(J378&gt;=500,J378&lt;=4999),"Alta",IF(AND(J378&gt;=5000),"Muy Alta",FALSE)))))</f>
        <v>Baja</v>
      </c>
      <c r="L378" s="474" t="str">
        <f>IF(AND(J378&lt;=2),"20%",IF(AND(J378&gt;=3,J378&lt;=23),"40%",IF(AND(J378&gt;=24,J378&lt;=499),"60%",IF(AND(J378&gt;=500,J378&lt;=4999),"80%",IF(AND(J378&gt;=5000),"100%",FALSE)))))</f>
        <v>40%</v>
      </c>
      <c r="M378" s="474" t="s">
        <v>160</v>
      </c>
      <c r="N378" s="474" t="str">
        <f>IF(AND(M378=$FQ$4),"Leve",IF(AND(M378=$FQ$5),"Menor",IF(AND(M378=$FQ$6),"Moderado",IF(AND(M378=$FQ$7),"mayor",IF(AND(M378=$FQ$8),"Catastrófico",IF(AND(M378=$FQ$10),"Leve",IF(AND(M378=$FQ$11),"Menor",IF(AND(M378=$FQ$12),"Moderado",IF(AND(M378=$FQ$13),"Mayor",IF(AND(M378=$FQ$14),"Catastrófico",FALSE))))))))))</f>
        <v>Menor</v>
      </c>
      <c r="O378" s="480" t="str">
        <f>IF(AND(N378="Leve"),"20%",IF(AND(N378="Menor"),"40%",IF(AND(N378="Moderado"),"60%",IF(AND(N378="Mayor"),"80%",IF(AND(N378="Catastrófico"),"100%","")))))</f>
        <v>40%</v>
      </c>
      <c r="P378" s="474" t="str">
        <f>INDEX('[9]MATRIZ RIESGO'!$D$6:$H$10,MATCH(K378,'[9]MATRIZ RIESGO'!$C$6:$C$10,),MATCH(N378,'[9]MATRIZ RIESGO'!$D$5:$H$5,))</f>
        <v>Moderado</v>
      </c>
      <c r="Q378" s="110">
        <v>1</v>
      </c>
      <c r="R378" s="110" t="s">
        <v>678</v>
      </c>
      <c r="S378" s="176" t="s">
        <v>237</v>
      </c>
      <c r="T378" s="176" t="s">
        <v>152</v>
      </c>
      <c r="U378" s="176" t="s">
        <v>153</v>
      </c>
      <c r="V378" s="176" t="str">
        <f>IF(AND(T378=$FS$2,U378=$FT$2),"50%",IF(AND(T378=$FS$2,U378=$FT$3),"40%",IF(AND(T378=$FS$3,U378=$FT$2),"40%",IF(AND(T378=$FS$3,U378=$FT$3),"30%",IF(AND(T378=$FS$4,U378=$FT$2),"35%",IF(AND(T378=$FS$4,U378=$FT$3),"25%",""))))))</f>
        <v>40%</v>
      </c>
      <c r="W378" s="176" t="s">
        <v>154</v>
      </c>
      <c r="X378" s="176" t="s">
        <v>155</v>
      </c>
      <c r="Y378" s="176" t="s">
        <v>156</v>
      </c>
      <c r="Z378" s="129">
        <f>IFERROR(IF(S378="Probabilidad",(L378-(+L378*V378)),IF(S378="Impacto",L378,"")),"")</f>
        <v>0.24</v>
      </c>
      <c r="AA378" s="477">
        <f>LOOKUP(2,1/(Z378:Z383&lt;&gt;""),Z378:Z383)</f>
        <v>0.14399999999999999</v>
      </c>
      <c r="AB378" s="477">
        <f t="shared" ref="AB378" si="171">AA378*1</f>
        <v>0.14399999999999999</v>
      </c>
      <c r="AC378" s="474" t="str">
        <f t="shared" ref="AC378" si="172">IF(AND(AB378&lt;=20%),"Muy Baja",IF(AND(AB378&gt;=21%,AB378&lt;=40%),"Baja",IF(AND(AB378&gt;=41%,AB378&lt;=60%),"Media",IF(AND(AB378&gt;=61%,AB378&lt;=80%),"Alta",IF(AND(AB378&gt;=81%,AB378&gt;=100%),"Muy Alta",FALSE)))))</f>
        <v>Muy Baja</v>
      </c>
      <c r="AD378" s="177" t="str">
        <f>IFERROR(IF(S378="Impacto",(O378-(+O378*V378)),IF(S378="Probabilidad",O378,"")),"")</f>
        <v>40%</v>
      </c>
      <c r="AE378" s="477" t="str">
        <f>LOOKUP(2,1/(AD378:AD383&lt;&gt;""),AD378:AD383)</f>
        <v>40%</v>
      </c>
      <c r="AF378" s="477">
        <f>AE378*1</f>
        <v>0.4</v>
      </c>
      <c r="AG378" s="474" t="str">
        <f t="shared" ref="AG378" si="173">CHOOSE((AF378&gt;=0%)+(AF378&gt;=21%)+(AF378&gt;=41%)+(AF378&gt;=61%)+(AF378&gt;=81%),"Leve","Menor","Moderado","Mayor","Catastrófico")</f>
        <v>Menor</v>
      </c>
      <c r="AH378" s="474" t="str">
        <f>INDEX('[9]MATRIZ RIESGO'!$D$6:$H$10,MATCH(AC378,'[9]MATRIZ RIESGO'!$C$6:$C$10,),MATCH(AG378,'[9]MATRIZ RIESGO'!$D$5:$H$5,))</f>
        <v>Bajo</v>
      </c>
      <c r="AI378" s="205" t="s">
        <v>77</v>
      </c>
      <c r="AJ378" s="110"/>
      <c r="AK378" s="110"/>
      <c r="AL378" s="111"/>
      <c r="AM378" s="176"/>
      <c r="AN378" s="110"/>
      <c r="AO378" s="176"/>
      <c r="AP378" s="496" t="s">
        <v>679</v>
      </c>
      <c r="AQ378" s="539" t="s">
        <v>113</v>
      </c>
      <c r="FM378" s="89"/>
      <c r="FQ378" s="80"/>
    </row>
    <row r="379" spans="1:181" s="78" customFormat="1" ht="13.5" customHeight="1" x14ac:dyDescent="0.25">
      <c r="A379" s="206"/>
      <c r="B379" s="110" t="s">
        <v>727</v>
      </c>
      <c r="C379" s="206"/>
      <c r="D379" s="206"/>
      <c r="E379" s="206"/>
      <c r="F379" s="206"/>
      <c r="G379" s="206"/>
      <c r="H379" s="206"/>
      <c r="I379" s="206"/>
      <c r="J379" s="206"/>
      <c r="K379" s="475"/>
      <c r="L379" s="475"/>
      <c r="M379" s="475"/>
      <c r="N379" s="475"/>
      <c r="O379" s="481"/>
      <c r="P379" s="475"/>
      <c r="Q379" s="110">
        <v>2</v>
      </c>
      <c r="R379" s="110" t="s">
        <v>680</v>
      </c>
      <c r="S379" s="176" t="s">
        <v>237</v>
      </c>
      <c r="T379" s="176" t="s">
        <v>152</v>
      </c>
      <c r="U379" s="176" t="s">
        <v>153</v>
      </c>
      <c r="V379" s="176" t="str">
        <f t="shared" ref="V379:V383" si="174">IF(AND(T379=$FS$2,U379=$FT$2),"50%",IF(AND(T379=$FS$2,U379=$FT$3),"40%",IF(AND(T379=$FS$3,U379=$FT$2),"40%",IF(AND(T379=$FS$3,U379=$FT$3),"30%",IF(AND(T379=$FS$4,U379=$FT$2),"35%",IF(AND(T379=$FS$4,U379=$FT$3),"25%",""))))))</f>
        <v>40%</v>
      </c>
      <c r="W379" s="176" t="s">
        <v>154</v>
      </c>
      <c r="X379" s="176" t="s">
        <v>155</v>
      </c>
      <c r="Y379" s="176" t="s">
        <v>156</v>
      </c>
      <c r="Z379" s="129">
        <f>IFERROR(IF(AND(S378="Probabilidad",S379="Probabilidad"),(Z378-(+Z378*V379)),IF(S379="Probabilidad",(L378-(+L378*V379)),IF(S379="Impacto",Z378,""))),"")</f>
        <v>0.14399999999999999</v>
      </c>
      <c r="AA379" s="478"/>
      <c r="AB379" s="478"/>
      <c r="AC379" s="475"/>
      <c r="AD379" s="177" t="str">
        <f>IFERROR(IF(AND(S378="Impacto",V379="Impacto"),(AD378-(+AD378*V379)),IF(S379="Impacto",(O378-(+O378*V379)),IF(S379="Probabilidad",AD378,""))),"")</f>
        <v>40%</v>
      </c>
      <c r="AE379" s="478"/>
      <c r="AF379" s="478"/>
      <c r="AG379" s="475"/>
      <c r="AH379" s="475"/>
      <c r="AI379" s="206"/>
      <c r="AJ379" s="110"/>
      <c r="AK379" s="110"/>
      <c r="AL379" s="111"/>
      <c r="AM379" s="110"/>
      <c r="AN379" s="110"/>
      <c r="AO379" s="176"/>
      <c r="AP379" s="497"/>
      <c r="AQ379" s="537"/>
      <c r="FM379" s="89"/>
    </row>
    <row r="380" spans="1:181" s="78" customFormat="1" ht="13.5" customHeight="1" x14ac:dyDescent="0.25">
      <c r="A380" s="206"/>
      <c r="B380" s="110" t="s">
        <v>727</v>
      </c>
      <c r="C380" s="206"/>
      <c r="D380" s="206"/>
      <c r="E380" s="206"/>
      <c r="F380" s="206"/>
      <c r="G380" s="206"/>
      <c r="H380" s="206"/>
      <c r="I380" s="206"/>
      <c r="J380" s="206"/>
      <c r="K380" s="475"/>
      <c r="L380" s="475"/>
      <c r="M380" s="475"/>
      <c r="N380" s="475"/>
      <c r="O380" s="481"/>
      <c r="P380" s="475"/>
      <c r="Q380" s="110"/>
      <c r="R380" s="110"/>
      <c r="S380" s="176"/>
      <c r="T380" s="176"/>
      <c r="U380" s="176"/>
      <c r="V380" s="176" t="str">
        <f t="shared" si="174"/>
        <v/>
      </c>
      <c r="W380" s="176"/>
      <c r="X380" s="176"/>
      <c r="Y380" s="176"/>
      <c r="Z380" s="129" t="str">
        <f>IFERROR(IF(AND(S379="Probabilidad",S380="Probabilidad"),(Z379-(+Z379*V380)),IF(S380="Probabilidad",(L379-(+L379*V380)),IF(S380="Impacto",Z379,""))),"")</f>
        <v/>
      </c>
      <c r="AA380" s="478"/>
      <c r="AB380" s="478"/>
      <c r="AC380" s="475"/>
      <c r="AD380" s="177" t="str">
        <f t="shared" ref="AD380:AD383" si="175">IFERROR(IF(AND(S379="Impacto",V380="Impacto"),(AD379-(+AD379*V380)),IF(S380="Impacto",(O379-(+O379*V380)),IF(S380="Probabilidad",AD379,""))),"")</f>
        <v/>
      </c>
      <c r="AE380" s="478"/>
      <c r="AF380" s="478"/>
      <c r="AG380" s="475"/>
      <c r="AH380" s="475"/>
      <c r="AI380" s="206"/>
      <c r="AJ380" s="110"/>
      <c r="AK380" s="110"/>
      <c r="AL380" s="111"/>
      <c r="AM380" s="110"/>
      <c r="AN380" s="110"/>
      <c r="AO380" s="176"/>
      <c r="AP380" s="497"/>
      <c r="AQ380" s="537"/>
      <c r="FM380" s="89"/>
    </row>
    <row r="381" spans="1:181" s="78" customFormat="1" ht="13.5" customHeight="1" x14ac:dyDescent="0.25">
      <c r="A381" s="206"/>
      <c r="B381" s="110" t="s">
        <v>727</v>
      </c>
      <c r="C381" s="206"/>
      <c r="D381" s="206"/>
      <c r="E381" s="206"/>
      <c r="F381" s="206"/>
      <c r="G381" s="206"/>
      <c r="H381" s="206"/>
      <c r="I381" s="206"/>
      <c r="J381" s="206"/>
      <c r="K381" s="475"/>
      <c r="L381" s="475"/>
      <c r="M381" s="475"/>
      <c r="N381" s="475"/>
      <c r="O381" s="481"/>
      <c r="P381" s="475"/>
      <c r="Q381" s="110"/>
      <c r="R381" s="110"/>
      <c r="S381" s="176"/>
      <c r="T381" s="176"/>
      <c r="U381" s="176"/>
      <c r="V381" s="176" t="str">
        <f t="shared" si="174"/>
        <v/>
      </c>
      <c r="W381" s="176"/>
      <c r="X381" s="176"/>
      <c r="Y381" s="176"/>
      <c r="Z381" s="129" t="str">
        <f>IFERROR(IF(AND(S380="Probabilidad",S381="Probabilidad"),(Z380-(+Z380*V381)),IF(S381="Probabilidad",(L380-(+L380*V381)),IF(S381="Impacto",Z380,""))),"")</f>
        <v/>
      </c>
      <c r="AA381" s="478"/>
      <c r="AB381" s="478"/>
      <c r="AC381" s="475"/>
      <c r="AD381" s="177" t="str">
        <f t="shared" si="175"/>
        <v/>
      </c>
      <c r="AE381" s="478"/>
      <c r="AF381" s="478"/>
      <c r="AG381" s="475"/>
      <c r="AH381" s="475"/>
      <c r="AI381" s="206"/>
      <c r="AJ381" s="110"/>
      <c r="AK381" s="110"/>
      <c r="AL381" s="111"/>
      <c r="AM381" s="110"/>
      <c r="AN381" s="110"/>
      <c r="AO381" s="176"/>
      <c r="AP381" s="497"/>
      <c r="AQ381" s="537"/>
      <c r="FM381" s="89"/>
    </row>
    <row r="382" spans="1:181" s="78" customFormat="1" ht="13.5" customHeight="1" x14ac:dyDescent="0.25">
      <c r="A382" s="206"/>
      <c r="B382" s="110" t="s">
        <v>727</v>
      </c>
      <c r="C382" s="206"/>
      <c r="D382" s="206"/>
      <c r="E382" s="206"/>
      <c r="F382" s="206"/>
      <c r="G382" s="206"/>
      <c r="H382" s="206"/>
      <c r="I382" s="206"/>
      <c r="J382" s="206"/>
      <c r="K382" s="475"/>
      <c r="L382" s="475"/>
      <c r="M382" s="475"/>
      <c r="N382" s="475"/>
      <c r="O382" s="481"/>
      <c r="P382" s="475"/>
      <c r="Q382" s="110"/>
      <c r="R382" s="134"/>
      <c r="S382" s="176"/>
      <c r="T382" s="176"/>
      <c r="U382" s="176"/>
      <c r="V382" s="176" t="str">
        <f t="shared" si="174"/>
        <v/>
      </c>
      <c r="W382" s="176"/>
      <c r="X382" s="176"/>
      <c r="Y382" s="176"/>
      <c r="Z382" s="129" t="str">
        <f>IFERROR(IF(AND(S381="Probabilidad",S382="Probabilidad"),(Z381-(+Z381*V382)),IF(S382="Probabilidad",(L381-(+L381*V382)),IF(S382="Impacto",Z381,""))),"")</f>
        <v/>
      </c>
      <c r="AA382" s="478"/>
      <c r="AB382" s="478"/>
      <c r="AC382" s="475"/>
      <c r="AD382" s="177" t="str">
        <f t="shared" si="175"/>
        <v/>
      </c>
      <c r="AE382" s="478"/>
      <c r="AF382" s="478"/>
      <c r="AG382" s="475"/>
      <c r="AH382" s="475"/>
      <c r="AI382" s="206"/>
      <c r="AJ382" s="110"/>
      <c r="AK382" s="110"/>
      <c r="AL382" s="111"/>
      <c r="AM382" s="110"/>
      <c r="AN382" s="110"/>
      <c r="AO382" s="176"/>
      <c r="AP382" s="497"/>
      <c r="AQ382" s="537"/>
      <c r="FM382" s="89"/>
    </row>
    <row r="383" spans="1:181" s="78" customFormat="1" ht="13.5" customHeight="1" x14ac:dyDescent="0.25">
      <c r="A383" s="473"/>
      <c r="B383" s="110" t="s">
        <v>727</v>
      </c>
      <c r="C383" s="473"/>
      <c r="D383" s="473"/>
      <c r="E383" s="473"/>
      <c r="F383" s="473"/>
      <c r="G383" s="473"/>
      <c r="H383" s="473"/>
      <c r="I383" s="473"/>
      <c r="J383" s="473"/>
      <c r="K383" s="476"/>
      <c r="L383" s="476"/>
      <c r="M383" s="476"/>
      <c r="N383" s="476"/>
      <c r="O383" s="482"/>
      <c r="P383" s="476"/>
      <c r="Q383" s="110"/>
      <c r="R383" s="134"/>
      <c r="S383" s="176"/>
      <c r="T383" s="176"/>
      <c r="U383" s="176"/>
      <c r="V383" s="176" t="str">
        <f t="shared" si="174"/>
        <v/>
      </c>
      <c r="W383" s="176"/>
      <c r="X383" s="176"/>
      <c r="Y383" s="176"/>
      <c r="Z383" s="129" t="str">
        <f>IFERROR(IF(AND(S382="Probabilidad",S383="Probabilidad"),(Z382-(+Z382*V383)),IF(S383="Probabilidad",(L382-(+L382*V383)),IF(S383="Impacto",Z382,""))),"")</f>
        <v/>
      </c>
      <c r="AA383" s="479"/>
      <c r="AB383" s="479"/>
      <c r="AC383" s="476"/>
      <c r="AD383" s="177" t="str">
        <f t="shared" si="175"/>
        <v/>
      </c>
      <c r="AE383" s="479"/>
      <c r="AF383" s="479"/>
      <c r="AG383" s="476"/>
      <c r="AH383" s="476"/>
      <c r="AI383" s="473"/>
      <c r="AJ383" s="176"/>
      <c r="AK383" s="176"/>
      <c r="AL383" s="112"/>
      <c r="AM383" s="176"/>
      <c r="AN383" s="176"/>
      <c r="AO383" s="176"/>
      <c r="AP383" s="498"/>
      <c r="AQ383" s="538"/>
      <c r="FM383" s="89"/>
      <c r="FQ383" s="79"/>
    </row>
    <row r="384" spans="1:181" s="78" customFormat="1" ht="14.25" customHeight="1" x14ac:dyDescent="0.25">
      <c r="A384" s="199">
        <v>71</v>
      </c>
      <c r="B384" s="128" t="s">
        <v>442</v>
      </c>
      <c r="C384" s="199" t="s">
        <v>260</v>
      </c>
      <c r="D384" s="199" t="s">
        <v>443</v>
      </c>
      <c r="E384" s="199" t="s">
        <v>444</v>
      </c>
      <c r="F384" s="199" t="s">
        <v>445</v>
      </c>
      <c r="G384" s="199" t="s">
        <v>265</v>
      </c>
      <c r="H384" s="199" t="s">
        <v>255</v>
      </c>
      <c r="I384" s="199" t="s">
        <v>446</v>
      </c>
      <c r="J384" s="202">
        <v>27000</v>
      </c>
      <c r="K384" s="496" t="str">
        <f>IF(AND(J384&lt;=2),"Muy Baja",IF(AND(J384&gt;=3,J384&lt;=23),"Baja",IF(AND(J384&gt;=24,J384&lt;=499),"Media",IF(AND(J384&gt;=500,J384&lt;=4999),"Alta",IF(AND(J384&gt;=5000),"Muy Alta",FALSE)))))</f>
        <v>Muy Alta</v>
      </c>
      <c r="L384" s="496" t="str">
        <f>IF(AND(J384&lt;=2),"20%",IF(AND(J384&gt;=3,J384&lt;=23),"40%",IF(AND(J384&gt;=24,J384&lt;=499),"60%",IF(AND(J384&gt;=500,J384&lt;=4999),"80%",IF(AND(J384&gt;=5000),"100%",FALSE)))))</f>
        <v>100%</v>
      </c>
      <c r="M384" s="496" t="s">
        <v>160</v>
      </c>
      <c r="N384" s="496" t="str">
        <f>IF(AND(M384=$FQ$4),"Leve",IF(AND(M384=$FQ$5),"Menor",IF(AND(M384=$FQ$6),"Moderado",IF(AND(M384=$FQ$7),"mayor",IF(AND(M384=$FQ$8),"Catastrófico",IF(AND(M384=$FQ$10),"Leve",IF(AND(M384=$FQ$11),"Menor",IF(AND(M384=$FQ$12),"Moderado",IF(AND(M384=$FQ$13),"Mayor",IF(AND(M384=$FQ$14),"Catastrófico",FALSE))))))))))</f>
        <v>Menor</v>
      </c>
      <c r="O384" s="509" t="str">
        <f>IF(AND(N384="Leve"),"20%",IF(AND(N384="Menor"),"40%",IF(AND(N384="Moderado"),"60%",IF(AND(N384="Mayor"),"80%",IF(AND(N384="Catastrófico"),"100%","")))))</f>
        <v>40%</v>
      </c>
      <c r="P384" s="496" t="str">
        <f>IF(AND(L384&lt;="40%",O384="20%"),"Bajo",IF(AND(L384="60%",O384="20%"),"Moderado",IF(AND(L384="80%",O384="20%"),"Moderado",IF(AND(L384="100%",O384="20%"),"Alto",IF(AND(L384="20%",O384="40%"),"Bajo",IF(AND(L384="40%",O384="40%"),"Moderado",IF(AND(L384="60%",O384="40%"),"Moderado",IF(AND(L384="80%",O384="40%"),"Moderado",IF(AND(L384="100%",O384="40%"),"Alto",IF(AND(L384="20%",O384="60%"),"Moderado",IF(AND(L384="40%",O384="60%"),"Moderado",IF(AND(L384="60%",O384="60%"),"Moderado",IF(AND(L384="80%",O384="60%"),"Alto",IF(AND(L384="100%",O384="60%"),"Alto",IF(AND(L384="20%",O384="80%"),"Alto",IF(AND(L384="40%",O384="80%"),"Alto",IF(AND(L384="60%",O384="80%"),"Alto",IF(AND(L384="80%",O384="80%"),"Alto",IF(AND(L384="100%",O384="80%"),"Alto",IF(AND(L384="20%",O384="100%"),"Extremo",IF(AND(L384="40%",O384="100%"),"Extremo",IF(AND(L384="60%",O384="100%"),"Extremo",IF(AND(L384="80%",O384="100%"),"Moderado",IF(AND(L384="100%",O384="100%"),"Extremo",""""))))))))))))))))))))))))</f>
        <v>Alto</v>
      </c>
      <c r="Q384" s="130">
        <v>1</v>
      </c>
      <c r="R384" s="133" t="s">
        <v>447</v>
      </c>
      <c r="S384" s="178" t="s">
        <v>237</v>
      </c>
      <c r="T384" s="178" t="s">
        <v>152</v>
      </c>
      <c r="U384" s="178" t="s">
        <v>153</v>
      </c>
      <c r="V384" s="178" t="str">
        <f>IF(AND(T384=$FS$2,U384=$FT$2),"50%",IF(AND(T384=$FS$2,U384=$FT$3),"40%",IF(AND(T384=$FS$3,U384=$FT$2),"40%",IF(AND(T384=$FS$3,U384=$FT$3),"30%",IF(AND(T384=$FS$4,U384=$FT$2),"35%",IF(AND(T384=$FS$4,U384=$FT$3),"25%",""))))))</f>
        <v>40%</v>
      </c>
      <c r="W384" s="178" t="s">
        <v>154</v>
      </c>
      <c r="X384" s="178" t="s">
        <v>155</v>
      </c>
      <c r="Y384" s="178" t="s">
        <v>156</v>
      </c>
      <c r="Z384" s="131">
        <f>IFERROR(IF(S384="Probabilidad",(L384-(+L384*V384)),IF(S384="Impacto",L384,"")),"")</f>
        <v>0.6</v>
      </c>
      <c r="AA384" s="218">
        <f>LOOKUP(2,1/(Z384:Z389&lt;&gt;""),Z384:Z389)</f>
        <v>0.6</v>
      </c>
      <c r="AB384" s="218">
        <f t="shared" ref="AB384" si="176">AA384*1</f>
        <v>0.6</v>
      </c>
      <c r="AC384" s="496" t="str">
        <f>IF(AND(AA384&lt;=20%),"Muy Baja",IF(AND(AA384&gt;=21%,AA384&lt;=40%),"Baja",IF(AND(AA384&gt;=41%,AA384&lt;=60%),"Media",IF(AND(AA384&gt;=61%,AA384&lt;=80%),"Alta",IF(AND(AA384&gt;=81%,AA384&gt;=100%),"Muy Alta",FALSE)))))</f>
        <v>Media</v>
      </c>
      <c r="AD384" s="182" t="str">
        <f>IFERROR(IF(S384="Impacto",(O384-(+O384*V384)),IF(S384="Probabilidad",O384,"")),"")</f>
        <v>40%</v>
      </c>
      <c r="AE384" s="218" t="str">
        <f>LOOKUP(2,1/(AD384:AD389&lt;&gt;""),AD384:AD389)</f>
        <v>40%</v>
      </c>
      <c r="AF384" s="218">
        <f t="shared" ref="AF384" si="177">AE384*1</f>
        <v>0.4</v>
      </c>
      <c r="AG384" s="496" t="str">
        <f>IF(AND(AE384&lt;=20%),"Leve",IF(AND(AE384&gt;=21%,AE384&lt;=40%),"Menor",IF(AND(AE384&gt;=41%,AE384&lt;="60%"),"Moderado",IF(AND(AE384&gt;=61%,AE384&lt;=80%),"Mayor",IF(AND(AE384&gt;=81%,AE384&gt;=100%),"Catastrófico",FALSE)))))</f>
        <v>Moderado</v>
      </c>
      <c r="AH384" s="496" t="str">
        <f>IF(OR(AND(AC384="Media",AG384="Leve"),AND(AC384="Alta",AG384="Leve"),AND(AC384="Alta",AG384="Menor"),AND(AC384="Media",AG384="Menor"),AND(AC384="Baja",AG384="Menor"),AND(AC384="Media",AG384="Moderado"),AND(AC384="Baja",AG384="Moderado"),AND(AC384="Muy Baja",AG384="Moderado")),"Moderado",IF(OR(AND(AC384="Baja",AG384="Leve"),AND(AC384="Muy Baja",AG384="Leve"),AND(AC384="Muy Baja",AG384="Menor")),"Bajo",IF(OR(AND(AC384="Muy Alta",AG384="Leve"),AND(AC384="Muy Alta",AG384="Menor"),AND(AC384="Muy Alta",AG384="Moderado"),AND(AC384="Alta",AG384="Moderado"),AND(AC384="Muy Alta",AG384="Mayor"),AND(AC384="Alta",AG384="Mayor"),AND(AC384="Media",AG384="Mayor"),AND(AC384="Baja",AG384="Mayor"),AND(AC384="Muy Baja",AG384="Mayor")),"Alto",IF(OR(AND(AC384="Alta",AG384="Catastrófico"),AND(AC384="Muy Alta",AG384="Catastrófico"),AND(AC384="Media",AG384="Catastrófico"),AND(AC384="Baja",AG384="Catastrófico"),AND(AC384="Muy Baja",AG384="Catastrófico")),"Extremo",IF(AG384="Catastrófico","Extremo")))))</f>
        <v>Moderado</v>
      </c>
      <c r="AI384" s="496" t="s">
        <v>111</v>
      </c>
      <c r="AJ384" s="178"/>
      <c r="AK384" s="178"/>
      <c r="AL384" s="153"/>
      <c r="AM384" s="178"/>
      <c r="AN384" s="178"/>
      <c r="AO384" s="178"/>
      <c r="AP384" s="496" t="s">
        <v>448</v>
      </c>
      <c r="AQ384" s="539" t="s">
        <v>113</v>
      </c>
      <c r="FM384" s="89"/>
      <c r="FQ384" s="80"/>
    </row>
    <row r="385" spans="1:181" s="78" customFormat="1" ht="14.25" customHeight="1" x14ac:dyDescent="0.25">
      <c r="A385" s="200"/>
      <c r="B385" s="128" t="s">
        <v>442</v>
      </c>
      <c r="C385" s="200"/>
      <c r="D385" s="200"/>
      <c r="E385" s="200"/>
      <c r="F385" s="200"/>
      <c r="G385" s="200"/>
      <c r="H385" s="200"/>
      <c r="I385" s="200"/>
      <c r="J385" s="203"/>
      <c r="K385" s="497"/>
      <c r="L385" s="497"/>
      <c r="M385" s="497"/>
      <c r="N385" s="497"/>
      <c r="O385" s="510"/>
      <c r="P385" s="497"/>
      <c r="Q385" s="130"/>
      <c r="R385" s="133"/>
      <c r="S385" s="178"/>
      <c r="T385" s="178"/>
      <c r="U385" s="178"/>
      <c r="V385" s="178" t="str">
        <f t="shared" ref="V385:V389" si="178">IF(AND(T385=$FS$2,U385=$FT$2),"50%",IF(AND(T385=$FS$2,U385=$FT$3),"40%",IF(AND(T385=$FS$3,U385=$FT$2),"40%",IF(AND(T385=$FS$3,U385=$FT$3),"30%",IF(AND(T385=$FS$4,U385=$FT$2),"35%",IF(AND(T385=$FS$4,U385=$FT$3),"25%",""))))))</f>
        <v/>
      </c>
      <c r="W385" s="178"/>
      <c r="X385" s="178"/>
      <c r="Y385" s="178"/>
      <c r="Z385" s="131" t="str">
        <f>IFERROR(IF(AND(S384="Probabilidad",S385="Probabilidad"),(Z384-(+Z384*V385)),IF(S385="Probabilidad",(L384-(+L384*V385)),IF(S385="Impacto",Z384,""))),"")</f>
        <v/>
      </c>
      <c r="AA385" s="219"/>
      <c r="AB385" s="219"/>
      <c r="AC385" s="497"/>
      <c r="AD385" s="182" t="str">
        <f>IFERROR(IF(AND(S384="Impacto",V385="Impacto"),(AD384-(+AD384*V385)),IF(S385="Impacto",(O384-(+O384*V385)),IF(S385="Probabilidad",AD384,""))),"")</f>
        <v/>
      </c>
      <c r="AE385" s="219"/>
      <c r="AF385" s="219"/>
      <c r="AG385" s="497"/>
      <c r="AH385" s="497"/>
      <c r="AI385" s="497"/>
      <c r="AJ385" s="178"/>
      <c r="AK385" s="178"/>
      <c r="AL385" s="153"/>
      <c r="AM385" s="178"/>
      <c r="AN385" s="178"/>
      <c r="AO385" s="178"/>
      <c r="AP385" s="497"/>
      <c r="AQ385" s="537"/>
      <c r="FM385" s="89"/>
    </row>
    <row r="386" spans="1:181" s="78" customFormat="1" ht="14.25" customHeight="1" x14ac:dyDescent="0.25">
      <c r="A386" s="200"/>
      <c r="B386" s="128" t="s">
        <v>442</v>
      </c>
      <c r="C386" s="200"/>
      <c r="D386" s="200"/>
      <c r="E386" s="200"/>
      <c r="F386" s="200"/>
      <c r="G386" s="200"/>
      <c r="H386" s="200"/>
      <c r="I386" s="200"/>
      <c r="J386" s="203"/>
      <c r="K386" s="497"/>
      <c r="L386" s="497"/>
      <c r="M386" s="497"/>
      <c r="N386" s="497"/>
      <c r="O386" s="510"/>
      <c r="P386" s="497"/>
      <c r="Q386" s="130"/>
      <c r="R386" s="133"/>
      <c r="S386" s="178"/>
      <c r="T386" s="178"/>
      <c r="U386" s="178"/>
      <c r="V386" s="178" t="str">
        <f t="shared" si="178"/>
        <v/>
      </c>
      <c r="W386" s="178"/>
      <c r="X386" s="178"/>
      <c r="Y386" s="178"/>
      <c r="Z386" s="131" t="str">
        <f>IFERROR(IF(AND(S385="Probabilidad",S386="Probabilidad"),(Z385-(+Z385*V386)),IF(S386="Probabilidad",(L385-(+L385*V386)),IF(S386="Impacto",Z385,""))),"")</f>
        <v/>
      </c>
      <c r="AA386" s="219"/>
      <c r="AB386" s="219"/>
      <c r="AC386" s="497"/>
      <c r="AD386" s="182" t="str">
        <f t="shared" ref="AD386:AD389" si="179">IFERROR(IF(AND(S385="Impacto",V386="Impacto"),(AD385-(+AD385*V386)),IF(S386="Impacto",(O385-(+O385*V386)),IF(S386="Probabilidad",AD385,""))),"")</f>
        <v/>
      </c>
      <c r="AE386" s="219"/>
      <c r="AF386" s="219"/>
      <c r="AG386" s="497"/>
      <c r="AH386" s="497"/>
      <c r="AI386" s="497"/>
      <c r="AJ386" s="178"/>
      <c r="AK386" s="178"/>
      <c r="AL386" s="178"/>
      <c r="AM386" s="178"/>
      <c r="AN386" s="178"/>
      <c r="AO386" s="178"/>
      <c r="AP386" s="497"/>
      <c r="AQ386" s="537"/>
      <c r="FM386" s="89"/>
    </row>
    <row r="387" spans="1:181" s="78" customFormat="1" ht="14.25" customHeight="1" x14ac:dyDescent="0.25">
      <c r="A387" s="200"/>
      <c r="B387" s="128" t="s">
        <v>442</v>
      </c>
      <c r="C387" s="200"/>
      <c r="D387" s="200"/>
      <c r="E387" s="200"/>
      <c r="F387" s="200"/>
      <c r="G387" s="200"/>
      <c r="H387" s="200"/>
      <c r="I387" s="200"/>
      <c r="J387" s="203"/>
      <c r="K387" s="497"/>
      <c r="L387" s="497"/>
      <c r="M387" s="497"/>
      <c r="N387" s="497"/>
      <c r="O387" s="510"/>
      <c r="P387" s="497"/>
      <c r="Q387" s="130"/>
      <c r="R387" s="133"/>
      <c r="S387" s="178"/>
      <c r="T387" s="178"/>
      <c r="U387" s="178"/>
      <c r="V387" s="178" t="str">
        <f t="shared" si="178"/>
        <v/>
      </c>
      <c r="W387" s="178"/>
      <c r="X387" s="178"/>
      <c r="Y387" s="178"/>
      <c r="Z387" s="131" t="str">
        <f>IFERROR(IF(AND(S386="Probabilidad",S387="Probabilidad"),(Z386-(+Z386*V387)),IF(S387="Probabilidad",(L386-(+L386*V387)),IF(S387="Impacto",Z386,""))),"")</f>
        <v/>
      </c>
      <c r="AA387" s="219"/>
      <c r="AB387" s="219"/>
      <c r="AC387" s="497"/>
      <c r="AD387" s="182" t="str">
        <f t="shared" si="179"/>
        <v/>
      </c>
      <c r="AE387" s="219"/>
      <c r="AF387" s="219"/>
      <c r="AG387" s="497"/>
      <c r="AH387" s="497"/>
      <c r="AI387" s="497"/>
      <c r="AJ387" s="178"/>
      <c r="AK387" s="178"/>
      <c r="AL387" s="178"/>
      <c r="AM387" s="178"/>
      <c r="AN387" s="178"/>
      <c r="AO387" s="178"/>
      <c r="AP387" s="497"/>
      <c r="AQ387" s="537"/>
      <c r="FM387" s="89"/>
    </row>
    <row r="388" spans="1:181" s="78" customFormat="1" ht="14.25" customHeight="1" x14ac:dyDescent="0.25">
      <c r="A388" s="200"/>
      <c r="B388" s="128" t="s">
        <v>442</v>
      </c>
      <c r="C388" s="200"/>
      <c r="D388" s="200"/>
      <c r="E388" s="200"/>
      <c r="F388" s="200"/>
      <c r="G388" s="200"/>
      <c r="H388" s="200"/>
      <c r="I388" s="200"/>
      <c r="J388" s="203"/>
      <c r="K388" s="497"/>
      <c r="L388" s="497"/>
      <c r="M388" s="497"/>
      <c r="N388" s="497"/>
      <c r="O388" s="510"/>
      <c r="P388" s="497"/>
      <c r="Q388" s="130"/>
      <c r="R388" s="133"/>
      <c r="S388" s="178"/>
      <c r="T388" s="178"/>
      <c r="U388" s="178"/>
      <c r="V388" s="178" t="str">
        <f t="shared" si="178"/>
        <v/>
      </c>
      <c r="W388" s="178"/>
      <c r="X388" s="178"/>
      <c r="Y388" s="178"/>
      <c r="Z388" s="131" t="str">
        <f>IFERROR(IF(AND(S387="Probabilidad",S388="Probabilidad"),(Z387-(+Z387*V388)),IF(S388="Probabilidad",(L387-(+L387*V388)),IF(S388="Impacto",Z387,""))),"")</f>
        <v/>
      </c>
      <c r="AA388" s="219"/>
      <c r="AB388" s="219"/>
      <c r="AC388" s="497"/>
      <c r="AD388" s="182" t="str">
        <f t="shared" si="179"/>
        <v/>
      </c>
      <c r="AE388" s="219"/>
      <c r="AF388" s="219"/>
      <c r="AG388" s="497"/>
      <c r="AH388" s="497"/>
      <c r="AI388" s="497"/>
      <c r="AJ388" s="178"/>
      <c r="AK388" s="178"/>
      <c r="AL388" s="178"/>
      <c r="AM388" s="178"/>
      <c r="AN388" s="178"/>
      <c r="AO388" s="178"/>
      <c r="AP388" s="497"/>
      <c r="AQ388" s="537"/>
      <c r="FM388" s="89"/>
    </row>
    <row r="389" spans="1:181" s="78" customFormat="1" ht="14.25" customHeight="1" thickBot="1" x14ac:dyDescent="0.25">
      <c r="A389" s="201"/>
      <c r="B389" s="128" t="s">
        <v>442</v>
      </c>
      <c r="C389" s="201"/>
      <c r="D389" s="201"/>
      <c r="E389" s="201"/>
      <c r="F389" s="529"/>
      <c r="G389" s="201"/>
      <c r="H389" s="201"/>
      <c r="I389" s="201"/>
      <c r="J389" s="204"/>
      <c r="K389" s="498"/>
      <c r="L389" s="498"/>
      <c r="M389" s="498"/>
      <c r="N389" s="498"/>
      <c r="O389" s="511"/>
      <c r="P389" s="498"/>
      <c r="Q389" s="130"/>
      <c r="R389" s="133"/>
      <c r="S389" s="178"/>
      <c r="T389" s="178"/>
      <c r="U389" s="178"/>
      <c r="V389" s="178" t="str">
        <f t="shared" si="178"/>
        <v/>
      </c>
      <c r="W389" s="178"/>
      <c r="X389" s="178"/>
      <c r="Y389" s="178"/>
      <c r="Z389" s="131" t="str">
        <f>IFERROR(IF(AND(S388="Probabilidad",S389="Probabilidad"),(Z388-(+Z388*V389)),IF(S389="Probabilidad",(L388-(+L388*V389)),IF(S389="Impacto",Z388,""))),"")</f>
        <v/>
      </c>
      <c r="AA389" s="220"/>
      <c r="AB389" s="220"/>
      <c r="AC389" s="498"/>
      <c r="AD389" s="182" t="str">
        <f t="shared" si="179"/>
        <v/>
      </c>
      <c r="AE389" s="220"/>
      <c r="AF389" s="220"/>
      <c r="AG389" s="498"/>
      <c r="AH389" s="498"/>
      <c r="AI389" s="498"/>
      <c r="AJ389" s="178"/>
      <c r="AK389" s="178"/>
      <c r="AL389" s="178"/>
      <c r="AM389" s="178"/>
      <c r="AN389" s="178"/>
      <c r="AO389" s="178"/>
      <c r="AP389" s="498"/>
      <c r="AQ389" s="538"/>
      <c r="FM389" s="90"/>
      <c r="FN389" s="87"/>
      <c r="FO389" s="87"/>
      <c r="FP389" s="87"/>
      <c r="FQ389" s="87"/>
      <c r="FR389" s="87"/>
      <c r="FS389" s="87"/>
      <c r="FT389" s="87"/>
      <c r="FU389" s="87"/>
      <c r="FV389" s="87"/>
      <c r="FW389" s="87"/>
      <c r="FX389" s="87"/>
      <c r="FY389" s="87"/>
    </row>
    <row r="390" spans="1:181" s="78" customFormat="1" ht="13.5" customHeight="1" x14ac:dyDescent="0.25">
      <c r="A390" s="483">
        <v>72</v>
      </c>
      <c r="B390" s="128" t="s">
        <v>686</v>
      </c>
      <c r="C390" s="199" t="s">
        <v>248</v>
      </c>
      <c r="D390" s="199" t="s">
        <v>687</v>
      </c>
      <c r="E390" s="199" t="s">
        <v>688</v>
      </c>
      <c r="F390" s="464" t="s">
        <v>199</v>
      </c>
      <c r="G390" s="199" t="s">
        <v>149</v>
      </c>
      <c r="H390" s="199" t="s">
        <v>150</v>
      </c>
      <c r="I390" s="199" t="s">
        <v>83</v>
      </c>
      <c r="J390" s="202">
        <v>240</v>
      </c>
      <c r="K390" s="496" t="str">
        <f>IF(AND(J390&lt;=2),"Muy Baja",IF(AND(J390&gt;=3,J390&lt;=23),"Baja",IF(AND(J390&gt;=24,J390&lt;=499),"Media",IF(AND(J390&gt;=500,J390&lt;=4999),"Alta",IF(AND(J390&gt;=5000),"Muy Alta",FALSE)))))</f>
        <v>Media</v>
      </c>
      <c r="L390" s="496" t="str">
        <f>IF(AND(J390&lt;=2),"20%",IF(AND(J390&gt;=3,J390&lt;=23),"40%",IF(AND(J390&gt;=24,J390&lt;=499),"60%",IF(AND(J390&gt;=500,J390&lt;=4999),"80%",IF(AND(J390&gt;=5000),"100%",FALSE)))))</f>
        <v>60%</v>
      </c>
      <c r="M390" s="496" t="s">
        <v>162</v>
      </c>
      <c r="N390" s="496" t="str">
        <f>IF(AND(M390=$FQ$4),"Leve",IF(AND(M390=$FQ$5),"Menor",IF(AND(M390=$FQ$6),"Moderado",IF(AND(M390=$FQ$7),"mayor",IF(AND(M390=$FQ$8),"Catastrófico",IF(AND(M390=$FQ$10),"Leve",IF(AND(M390=$FQ$11),"Menor",IF(AND(M390=$FQ$12),"Moderado",IF(AND(M390=$FQ$13),"Mayor",IF(AND(M390=$FQ$14),"Catastrófico",FALSE))))))))))</f>
        <v>Moderado</v>
      </c>
      <c r="O390" s="509" t="str">
        <f>IF(AND(N390="Leve"),"20%",IF(AND(N390="Menor"),"40%",IF(AND(N390="Moderado"),"60%",IF(AND(N390="Mayor"),"80%",IF(AND(N390="Catastrófico"),"100%","")))))</f>
        <v>60%</v>
      </c>
      <c r="P390" s="496" t="str">
        <f>INDEX('[10]MATRIZ RIESGO'!$D$6:$H$10,MATCH(K390,'[10]MATRIZ RIESGO'!$C$6:$C$10,),MATCH(N390,'[10]MATRIZ RIESGO'!$D$5:$H$5,))</f>
        <v>Moderado</v>
      </c>
      <c r="Q390" s="130">
        <v>1</v>
      </c>
      <c r="R390" s="146" t="s">
        <v>200</v>
      </c>
      <c r="S390" s="147" t="str">
        <f>IF(AND(T390=[11]DESPLEGABLES!$A$43),"Probabilidad",IF(AND(T390=[11]DESPLEGABLES!$A$44),"Probabilidad",IF(AND(T390=[11]DESPLEGABLES!$A$45),"Impacto","")))</f>
        <v>Probabilidad</v>
      </c>
      <c r="T390" s="148" t="s">
        <v>152</v>
      </c>
      <c r="U390" s="148" t="s">
        <v>153</v>
      </c>
      <c r="V390" s="178" t="str">
        <f>IF(AND(T390=$FS$2,U390=$FT$2),"50%",IF(AND(T390=$FS$2,U390=$FT$3),"40%",IF(AND(T390=$FS$3,U390=$FT$2),"40%",IF(AND(T390=$FS$3,U390=$FT$3),"30%",IF(AND(T390=$FS$4,U390=$FT$2),"35%",IF(AND(T390=$FS$4,U390=$FT$3),"25%",""))))))</f>
        <v>40%</v>
      </c>
      <c r="W390" s="178" t="s">
        <v>154</v>
      </c>
      <c r="X390" s="178" t="s">
        <v>155</v>
      </c>
      <c r="Y390" s="178" t="s">
        <v>156</v>
      </c>
      <c r="Z390" s="131">
        <f>IFERROR(IF(S390="Probabilidad",(L390-(+L390*V390)),IF(S390="Impacto",L390,"")),"")</f>
        <v>0.36</v>
      </c>
      <c r="AA390" s="218">
        <f>LOOKUP(2,1/(Z390:Z395&lt;&gt;""),Z390:Z395)</f>
        <v>0.1512</v>
      </c>
      <c r="AB390" s="218">
        <f>AA390*1</f>
        <v>0.1512</v>
      </c>
      <c r="AC390" s="496" t="str">
        <f>IF(AND(AB390&lt;=20%),"Muy Baja",IF(AND(AB390&gt;=21%,AB390&lt;=40%),"Baja",IF(AND(AB390&gt;=41%,AB390&lt;=60%),"Media",IF(AND(AB390&gt;=61%,AB390&lt;=80%),"Alta",IF(AND(AB390&gt;=81%,AB390&gt;=100%),"Muy Alta",FALSE)))))</f>
        <v>Muy Baja</v>
      </c>
      <c r="AD390" s="182" t="str">
        <f>IFERROR(IF(S390="Impacto",(O390-(+O390*V390)),IF(S390="Probabilidad",O390,"")),"")</f>
        <v>60%</v>
      </c>
      <c r="AE390" s="218" t="str">
        <f>LOOKUP(2,1/(AD390:AD395&lt;&gt;""),AD390:AD395)</f>
        <v>60%</v>
      </c>
      <c r="AF390" s="218">
        <f>AE390*1</f>
        <v>0.6</v>
      </c>
      <c r="AG390" s="496" t="str">
        <f>CHOOSE((AF390&gt;=0%)+(AF390&gt;=21%)+(AF390&gt;=41%)+(AF390&gt;=61%)+(AF390&gt;=81%),"Leve","Menor","Moderado","Mayor","Catastrófico")</f>
        <v>Moderado</v>
      </c>
      <c r="AH390" s="496" t="str">
        <f>INDEX('[10]MATRIZ RIESGO'!$D$6:$H$10,MATCH(AC390,'[10]MATRIZ RIESGO'!$C$6:$C$10,),MATCH(AG390,'[10]MATRIZ RIESGO'!$D$5:$H$5,))</f>
        <v>Moderado</v>
      </c>
      <c r="AI390" s="496" t="s">
        <v>77</v>
      </c>
      <c r="AJ390" s="178"/>
      <c r="AK390" s="178"/>
      <c r="AL390" s="152"/>
      <c r="AM390" s="178"/>
      <c r="AN390" s="178"/>
      <c r="AO390" s="147"/>
      <c r="AP390" s="496" t="s">
        <v>689</v>
      </c>
      <c r="AQ390" s="539" t="s">
        <v>113</v>
      </c>
      <c r="FM390" s="89"/>
      <c r="FP390" s="78" t="s">
        <v>255</v>
      </c>
      <c r="FQ390" s="80" t="s">
        <v>256</v>
      </c>
    </row>
    <row r="391" spans="1:181" s="78" customFormat="1" ht="13.5" customHeight="1" x14ac:dyDescent="0.2">
      <c r="A391" s="468"/>
      <c r="B391" s="128" t="s">
        <v>686</v>
      </c>
      <c r="C391" s="200"/>
      <c r="D391" s="200"/>
      <c r="E391" s="200"/>
      <c r="F391" s="465"/>
      <c r="G391" s="200"/>
      <c r="H391" s="200"/>
      <c r="I391" s="200"/>
      <c r="J391" s="203"/>
      <c r="K391" s="497"/>
      <c r="L391" s="497"/>
      <c r="M391" s="497"/>
      <c r="N391" s="497"/>
      <c r="O391" s="510"/>
      <c r="P391" s="497"/>
      <c r="Q391" s="130">
        <v>2</v>
      </c>
      <c r="R391" s="149" t="s">
        <v>201</v>
      </c>
      <c r="S391" s="150" t="str">
        <f>IF(AND(T391=[11]DESPLEGABLES!$A$43),"Probabilidad",IF(AND(T391=[11]DESPLEGABLES!$A$44),"Probabilidad",IF(AND(T391=[11]DESPLEGABLES!$A$45),"Impacto","")))</f>
        <v>Probabilidad</v>
      </c>
      <c r="T391" s="151" t="s">
        <v>202</v>
      </c>
      <c r="U391" s="151" t="s">
        <v>153</v>
      </c>
      <c r="V391" s="178" t="str">
        <f t="shared" ref="V391:V395" si="180">IF(AND(T391=$FS$2,U391=$FT$2),"50%",IF(AND(T391=$FS$2,U391=$FT$3),"40%",IF(AND(T391=$FS$3,U391=$FT$2),"40%",IF(AND(T391=$FS$3,U391=$FT$3),"30%",IF(AND(T391=$FS$4,U391=$FT$2),"35%",IF(AND(T391=$FS$4,U391=$FT$3),"25%",""))))))</f>
        <v>30%</v>
      </c>
      <c r="W391" s="178" t="s">
        <v>161</v>
      </c>
      <c r="X391" s="178" t="s">
        <v>155</v>
      </c>
      <c r="Y391" s="178" t="s">
        <v>156</v>
      </c>
      <c r="Z391" s="131">
        <f>IFERROR(IF(AND(S390="Probabilidad",S391="Probabilidad"),(Z390-(+Z390*V391)),IF(S391="Probabilidad",(L390-(+L390*V391)),IF(S391="Impacto",Z390,""))),"")</f>
        <v>0.252</v>
      </c>
      <c r="AA391" s="219"/>
      <c r="AB391" s="219"/>
      <c r="AC391" s="497"/>
      <c r="AD391" s="182" t="str">
        <f>IFERROR(IF(AND(S390="Impacto",V391="Impacto"),(AD390-(+AD390*V391)),IF(S391="Impacto",(O390-(+O390*V391)),IF(S391="Probabilidad",AD390,""))),"")</f>
        <v>60%</v>
      </c>
      <c r="AE391" s="219"/>
      <c r="AF391" s="219"/>
      <c r="AG391" s="497"/>
      <c r="AH391" s="497"/>
      <c r="AI391" s="497"/>
      <c r="AJ391" s="178"/>
      <c r="AK391" s="178"/>
      <c r="AL391" s="152"/>
      <c r="AM391" s="178"/>
      <c r="AN391" s="178"/>
      <c r="AO391" s="178"/>
      <c r="AP391" s="497"/>
      <c r="AQ391" s="537"/>
      <c r="FM391" s="89"/>
      <c r="FP391" s="78" t="s">
        <v>196</v>
      </c>
      <c r="FQ391" s="87" t="s">
        <v>158</v>
      </c>
    </row>
    <row r="392" spans="1:181" s="78" customFormat="1" ht="13.5" customHeight="1" x14ac:dyDescent="0.2">
      <c r="A392" s="468"/>
      <c r="B392" s="128" t="s">
        <v>686</v>
      </c>
      <c r="C392" s="200"/>
      <c r="D392" s="200"/>
      <c r="E392" s="200"/>
      <c r="F392" s="465"/>
      <c r="G392" s="200"/>
      <c r="H392" s="200"/>
      <c r="I392" s="200"/>
      <c r="J392" s="203"/>
      <c r="K392" s="497"/>
      <c r="L392" s="497"/>
      <c r="M392" s="497"/>
      <c r="N392" s="497"/>
      <c r="O392" s="510"/>
      <c r="P392" s="497"/>
      <c r="Q392" s="130">
        <v>3</v>
      </c>
      <c r="R392" s="149" t="s">
        <v>690</v>
      </c>
      <c r="S392" s="150" t="str">
        <f>IF(AND(T392=[11]DESPLEGABLES!$A$43),"Probabilidad",IF(AND(T392=[11]DESPLEGABLES!$A$44),"Probabilidad",IF(AND(T392=[11]DESPLEGABLES!$A$45),"Impacto","")))</f>
        <v>Probabilidad</v>
      </c>
      <c r="T392" s="151" t="s">
        <v>152</v>
      </c>
      <c r="U392" s="151" t="s">
        <v>153</v>
      </c>
      <c r="V392" s="178" t="str">
        <f t="shared" si="180"/>
        <v>40%</v>
      </c>
      <c r="W392" s="178" t="s">
        <v>161</v>
      </c>
      <c r="X392" s="178" t="s">
        <v>155</v>
      </c>
      <c r="Y392" s="178" t="s">
        <v>156</v>
      </c>
      <c r="Z392" s="131">
        <f>IFERROR(IF(AND(S391="Probabilidad",S392="Probabilidad"),(Z391-(+Z391*V392)),IF(S392="Probabilidad",(L391-(+L391*V392)),IF(S392="Impacto",Z391,""))),"")</f>
        <v>0.1512</v>
      </c>
      <c r="AA392" s="219"/>
      <c r="AB392" s="219"/>
      <c r="AC392" s="497"/>
      <c r="AD392" s="182" t="str">
        <f t="shared" ref="AD392:AD395" si="181">IFERROR(IF(AND(S391="Impacto",V392="Impacto"),(AD391-(+AD391*V392)),IF(S392="Impacto",(O391-(+O391*V392)),IF(S392="Probabilidad",AD391,""))),"")</f>
        <v>60%</v>
      </c>
      <c r="AE392" s="219"/>
      <c r="AF392" s="219"/>
      <c r="AG392" s="497"/>
      <c r="AH392" s="497"/>
      <c r="AI392" s="497"/>
      <c r="AJ392" s="178"/>
      <c r="AK392" s="178"/>
      <c r="AL392" s="152"/>
      <c r="AM392" s="178"/>
      <c r="AN392" s="178"/>
      <c r="AO392" s="178"/>
      <c r="AP392" s="497"/>
      <c r="AQ392" s="537"/>
      <c r="FM392" s="89"/>
      <c r="FQ392" s="87" t="s">
        <v>160</v>
      </c>
    </row>
    <row r="393" spans="1:181" s="78" customFormat="1" ht="13.5" customHeight="1" x14ac:dyDescent="0.2">
      <c r="A393" s="468"/>
      <c r="B393" s="128" t="s">
        <v>686</v>
      </c>
      <c r="C393" s="200"/>
      <c r="D393" s="200"/>
      <c r="E393" s="200"/>
      <c r="F393" s="465"/>
      <c r="G393" s="200"/>
      <c r="H393" s="200"/>
      <c r="I393" s="200"/>
      <c r="J393" s="203"/>
      <c r="K393" s="497"/>
      <c r="L393" s="497"/>
      <c r="M393" s="497"/>
      <c r="N393" s="497"/>
      <c r="O393" s="510"/>
      <c r="P393" s="497"/>
      <c r="Q393" s="130"/>
      <c r="R393" s="137"/>
      <c r="S393" s="178"/>
      <c r="T393" s="178"/>
      <c r="U393" s="178"/>
      <c r="V393" s="178" t="str">
        <f t="shared" si="180"/>
        <v/>
      </c>
      <c r="W393" s="178"/>
      <c r="X393" s="178"/>
      <c r="Y393" s="178"/>
      <c r="Z393" s="131" t="str">
        <f>IFERROR(IF(AND(S392="Probabilidad",S393="Probabilidad"),(Z392-(+Z392*V393)),IF(S393="Probabilidad",(L392-(+L392*V393)),IF(S393="Impacto",Z392,""))),"")</f>
        <v/>
      </c>
      <c r="AA393" s="219"/>
      <c r="AB393" s="219"/>
      <c r="AC393" s="497"/>
      <c r="AD393" s="182" t="str">
        <f t="shared" si="181"/>
        <v/>
      </c>
      <c r="AE393" s="219"/>
      <c r="AF393" s="219"/>
      <c r="AG393" s="497"/>
      <c r="AH393" s="497"/>
      <c r="AI393" s="497"/>
      <c r="AJ393" s="178"/>
      <c r="AK393" s="178"/>
      <c r="AL393" s="152"/>
      <c r="AM393" s="178"/>
      <c r="AN393" s="178"/>
      <c r="AO393" s="178"/>
      <c r="AP393" s="497"/>
      <c r="AQ393" s="537"/>
      <c r="FM393" s="89"/>
      <c r="FQ393" s="87" t="s">
        <v>162</v>
      </c>
    </row>
    <row r="394" spans="1:181" s="78" customFormat="1" ht="13.5" customHeight="1" x14ac:dyDescent="0.2">
      <c r="A394" s="468"/>
      <c r="B394" s="128" t="s">
        <v>686</v>
      </c>
      <c r="C394" s="200"/>
      <c r="D394" s="200"/>
      <c r="E394" s="200"/>
      <c r="F394" s="465"/>
      <c r="G394" s="200"/>
      <c r="H394" s="200"/>
      <c r="I394" s="200"/>
      <c r="J394" s="203"/>
      <c r="K394" s="497"/>
      <c r="L394" s="497"/>
      <c r="M394" s="497"/>
      <c r="N394" s="497"/>
      <c r="O394" s="510"/>
      <c r="P394" s="497"/>
      <c r="Q394" s="130"/>
      <c r="R394" s="137"/>
      <c r="S394" s="178"/>
      <c r="T394" s="178"/>
      <c r="U394" s="178"/>
      <c r="V394" s="178" t="str">
        <f t="shared" si="180"/>
        <v/>
      </c>
      <c r="W394" s="178"/>
      <c r="X394" s="178"/>
      <c r="Y394" s="178"/>
      <c r="Z394" s="131" t="str">
        <f>IFERROR(IF(AND(S393="Probabilidad",S394="Probabilidad"),(Z393-(+Z393*V394)),IF(S394="Probabilidad",(L393-(+L393*V394)),IF(S394="Impacto",Z393,""))),"")</f>
        <v/>
      </c>
      <c r="AA394" s="219"/>
      <c r="AB394" s="219"/>
      <c r="AC394" s="497"/>
      <c r="AD394" s="182" t="str">
        <f t="shared" si="181"/>
        <v/>
      </c>
      <c r="AE394" s="219"/>
      <c r="AF394" s="219"/>
      <c r="AG394" s="497"/>
      <c r="AH394" s="497"/>
      <c r="AI394" s="497"/>
      <c r="AJ394" s="178"/>
      <c r="AK394" s="178"/>
      <c r="AL394" s="152"/>
      <c r="AM394" s="178"/>
      <c r="AN394" s="178"/>
      <c r="AO394" s="178"/>
      <c r="AP394" s="497"/>
      <c r="AQ394" s="537"/>
      <c r="FM394" s="89"/>
      <c r="FQ394" s="87" t="s">
        <v>257</v>
      </c>
    </row>
    <row r="395" spans="1:181" s="78" customFormat="1" ht="13.5" customHeight="1" thickBot="1" x14ac:dyDescent="0.25">
      <c r="A395" s="484"/>
      <c r="B395" s="128" t="s">
        <v>686</v>
      </c>
      <c r="C395" s="201"/>
      <c r="D395" s="201"/>
      <c r="E395" s="201"/>
      <c r="F395" s="466"/>
      <c r="G395" s="201"/>
      <c r="H395" s="201"/>
      <c r="I395" s="201"/>
      <c r="J395" s="204"/>
      <c r="K395" s="498"/>
      <c r="L395" s="498"/>
      <c r="M395" s="498"/>
      <c r="N395" s="498"/>
      <c r="O395" s="511"/>
      <c r="P395" s="498"/>
      <c r="Q395" s="130"/>
      <c r="R395" s="137"/>
      <c r="S395" s="178"/>
      <c r="T395" s="178"/>
      <c r="U395" s="178"/>
      <c r="V395" s="178" t="str">
        <f t="shared" si="180"/>
        <v/>
      </c>
      <c r="W395" s="178"/>
      <c r="X395" s="178"/>
      <c r="Y395" s="178"/>
      <c r="Z395" s="131" t="str">
        <f>IFERROR(IF(AND(S394="Probabilidad",S395="Probabilidad"),(Z394-(+Z394*V395)),IF(S395="Probabilidad",(L394-(+L394*V395)),IF(S395="Impacto",Z394,""))),"")</f>
        <v/>
      </c>
      <c r="AA395" s="220"/>
      <c r="AB395" s="220"/>
      <c r="AC395" s="498"/>
      <c r="AD395" s="182" t="str">
        <f t="shared" si="181"/>
        <v/>
      </c>
      <c r="AE395" s="220"/>
      <c r="AF395" s="220"/>
      <c r="AG395" s="498"/>
      <c r="AH395" s="498"/>
      <c r="AI395" s="498"/>
      <c r="AJ395" s="178"/>
      <c r="AK395" s="178"/>
      <c r="AL395" s="152"/>
      <c r="AM395" s="178"/>
      <c r="AN395" s="178"/>
      <c r="AO395" s="178"/>
      <c r="AP395" s="498"/>
      <c r="AQ395" s="538"/>
      <c r="FM395" s="89"/>
      <c r="FQ395" s="87" t="s">
        <v>170</v>
      </c>
    </row>
    <row r="396" spans="1:181" s="78" customFormat="1" ht="13.5" customHeight="1" x14ac:dyDescent="0.25">
      <c r="A396" s="467">
        <v>73</v>
      </c>
      <c r="B396" s="128" t="s">
        <v>686</v>
      </c>
      <c r="C396" s="199" t="s">
        <v>233</v>
      </c>
      <c r="D396" s="199" t="s">
        <v>691</v>
      </c>
      <c r="E396" s="199" t="s">
        <v>692</v>
      </c>
      <c r="F396" s="464" t="s">
        <v>693</v>
      </c>
      <c r="G396" s="199" t="s">
        <v>149</v>
      </c>
      <c r="H396" s="199" t="s">
        <v>150</v>
      </c>
      <c r="I396" s="199" t="s">
        <v>83</v>
      </c>
      <c r="J396" s="202">
        <v>2000</v>
      </c>
      <c r="K396" s="496" t="str">
        <f>IF(AND(J396&lt;=2),"Muy Baja",IF(AND(J396&gt;=3,J396&lt;=23),"Baja",IF(AND(J396&gt;=24,J396&lt;=499),"Media",IF(AND(J396&gt;=500,J396&lt;=4999),"Alta",IF(AND(J396&gt;=5000),"Muy Alta",FALSE)))))</f>
        <v>Alta</v>
      </c>
      <c r="L396" s="496" t="str">
        <f>IF(AND(J396&lt;=2),"20%",IF(AND(J396&gt;=3,J396&lt;=23),"40%",IF(AND(J396&gt;=24,J396&lt;=499),"60%",IF(AND(J396&gt;=500,J396&lt;=4999),"80%",IF(AND(J396&gt;=5000),"100%",FALSE)))))</f>
        <v>80%</v>
      </c>
      <c r="M396" s="496" t="s">
        <v>162</v>
      </c>
      <c r="N396" s="496" t="str">
        <f>IF(AND(M396=$FQ$4),"Leve",IF(AND(M396=$FQ$5),"Menor",IF(AND(M396=$FQ$6),"Moderado",IF(AND(M396=$FQ$7),"mayor",IF(AND(M396=$FQ$8),"Catastrófico",IF(AND(M396=$FQ$10),"Leve",IF(AND(M396=$FQ$11),"Menor",IF(AND(M396=$FQ$12),"Moderado",IF(AND(M396=$FQ$13),"Mayor",IF(AND(M396=$FQ$14),"Catastrófico",FALSE))))))))))</f>
        <v>Moderado</v>
      </c>
      <c r="O396" s="509" t="str">
        <f>IF(AND(N396="Leve"),"20%",IF(AND(N396="Menor"),"40%",IF(AND(N396="Moderado"),"60%",IF(AND(N396="Mayor"),"80%",IF(AND(N396="Catastrófico"),"100%","")))))</f>
        <v>60%</v>
      </c>
      <c r="P396" s="496" t="str">
        <f>INDEX('[10]MATRIZ RIESGO'!$D$6:$H$10,MATCH(K396,'[10]MATRIZ RIESGO'!$C$6:$C$10,),MATCH(N396,'[10]MATRIZ RIESGO'!$D$5:$H$5,))</f>
        <v>Alto</v>
      </c>
      <c r="Q396" s="130">
        <v>1</v>
      </c>
      <c r="R396" s="149" t="s">
        <v>694</v>
      </c>
      <c r="S396" s="178" t="s">
        <v>237</v>
      </c>
      <c r="T396" s="178" t="s">
        <v>152</v>
      </c>
      <c r="U396" s="178" t="s">
        <v>153</v>
      </c>
      <c r="V396" s="178" t="str">
        <f>IF(AND(T396=$FS$2,U396=$FT$2),"50%",IF(AND(T396=$FS$2,U396=$FT$3),"40%",IF(AND(T396=$FS$3,U396=$FT$2),"40%",IF(AND(T396=$FS$3,U396=$FT$3),"30%",IF(AND(T396=$FS$4,U396=$FT$2),"35%",IF(AND(T396=$FS$4,U396=$FT$3),"25%",""))))))</f>
        <v>40%</v>
      </c>
      <c r="W396" s="178" t="s">
        <v>154</v>
      </c>
      <c r="X396" s="178" t="s">
        <v>155</v>
      </c>
      <c r="Y396" s="178" t="s">
        <v>156</v>
      </c>
      <c r="Z396" s="131">
        <f>IFERROR(IF(S396="Probabilidad",(L396-(+L396*V396)),IF(S396="Impacto",L396,"")),"")</f>
        <v>0.48</v>
      </c>
      <c r="AA396" s="218">
        <f>LOOKUP(2,1/(Z396:Z401&lt;&gt;""),Z396:Z401)</f>
        <v>0.48</v>
      </c>
      <c r="AB396" s="218">
        <f t="shared" ref="AB396" si="182">AA396*1</f>
        <v>0.48</v>
      </c>
      <c r="AC396" s="496" t="str">
        <f t="shared" ref="AC396" si="183">IF(AND(AB396&lt;=20%),"Muy Baja",IF(AND(AB396&gt;=21%,AB396&lt;=40%),"Baja",IF(AND(AB396&gt;=41%,AB396&lt;=60%),"Media",IF(AND(AB396&gt;=61%,AB396&lt;=80%),"Alta",IF(AND(AB396&gt;=81%,AB396&gt;=100%),"Muy Alta",FALSE)))))</f>
        <v>Media</v>
      </c>
      <c r="AD396" s="182" t="str">
        <f>IFERROR(IF(S396="Impacto",(O396-(+O396*V396)),IF(S396="Probabilidad",O396,"")),"")</f>
        <v>60%</v>
      </c>
      <c r="AE396" s="218" t="str">
        <f>LOOKUP(2,1/(AD396:AD401&lt;&gt;""),AD396:AD401)</f>
        <v>60%</v>
      </c>
      <c r="AF396" s="218">
        <f>AE396*1</f>
        <v>0.6</v>
      </c>
      <c r="AG396" s="496" t="str">
        <f t="shared" ref="AG396" si="184">CHOOSE((AF396&gt;=0%)+(AF396&gt;=21%)+(AF396&gt;=41%)+(AF396&gt;=61%)+(AF396&gt;=81%),"Leve","Menor","Moderado","Mayor","Catastrófico")</f>
        <v>Moderado</v>
      </c>
      <c r="AH396" s="496" t="str">
        <f>INDEX('[10]MATRIZ RIESGO'!$D$6:$H$10,MATCH(AC396,'[10]MATRIZ RIESGO'!$C$6:$C$10,),MATCH(AG396,'[10]MATRIZ RIESGO'!$D$5:$H$5,))</f>
        <v>Moderado</v>
      </c>
      <c r="AI396" s="496" t="s">
        <v>77</v>
      </c>
      <c r="AJ396" s="178"/>
      <c r="AK396" s="178"/>
      <c r="AL396" s="152"/>
      <c r="AM396" s="178"/>
      <c r="AN396" s="178"/>
      <c r="AO396" s="178"/>
      <c r="AP396" s="496" t="s">
        <v>689</v>
      </c>
      <c r="AQ396" s="539" t="s">
        <v>113</v>
      </c>
      <c r="FM396" s="89"/>
      <c r="FQ396" s="80"/>
    </row>
    <row r="397" spans="1:181" s="78" customFormat="1" ht="13.5" customHeight="1" x14ac:dyDescent="0.25">
      <c r="A397" s="468"/>
      <c r="B397" s="128" t="s">
        <v>686</v>
      </c>
      <c r="C397" s="200"/>
      <c r="D397" s="200"/>
      <c r="E397" s="200"/>
      <c r="F397" s="465"/>
      <c r="G397" s="200"/>
      <c r="H397" s="200"/>
      <c r="I397" s="200"/>
      <c r="J397" s="203"/>
      <c r="K397" s="497"/>
      <c r="L397" s="497"/>
      <c r="M397" s="497"/>
      <c r="N397" s="497"/>
      <c r="O397" s="510"/>
      <c r="P397" s="497"/>
      <c r="Q397" s="130"/>
      <c r="R397" s="133"/>
      <c r="S397" s="178"/>
      <c r="T397" s="178"/>
      <c r="U397" s="178"/>
      <c r="V397" s="178" t="str">
        <f t="shared" ref="V397:V401" si="185">IF(AND(T397=$FS$2,U397=$FT$2),"50%",IF(AND(T397=$FS$2,U397=$FT$3),"40%",IF(AND(T397=$FS$3,U397=$FT$2),"40%",IF(AND(T397=$FS$3,U397=$FT$3),"30%",IF(AND(T397=$FS$4,U397=$FT$2),"35%",IF(AND(T397=$FS$4,U397=$FT$3),"25%",""))))))</f>
        <v/>
      </c>
      <c r="W397" s="178"/>
      <c r="X397" s="178"/>
      <c r="Y397" s="178"/>
      <c r="Z397" s="131" t="str">
        <f>IFERROR(IF(AND(S396="Probabilidad",S397="Probabilidad"),(Z396-(+Z396*V397)),IF(S397="Probabilidad",(L396-(+L396*V397)),IF(S397="Impacto",Z396,""))),"")</f>
        <v/>
      </c>
      <c r="AA397" s="219"/>
      <c r="AB397" s="219"/>
      <c r="AC397" s="497"/>
      <c r="AD397" s="182" t="str">
        <f>IFERROR(IF(AND(S396="Impacto",V397="Impacto"),(AD396-(+AD396*V397)),IF(S397="Impacto",(O396-(+O396*V397)),IF(S397="Probabilidad",AD396,""))),"")</f>
        <v/>
      </c>
      <c r="AE397" s="219"/>
      <c r="AF397" s="219"/>
      <c r="AG397" s="497"/>
      <c r="AH397" s="497"/>
      <c r="AI397" s="497"/>
      <c r="AJ397" s="178"/>
      <c r="AK397" s="178"/>
      <c r="AL397" s="152"/>
      <c r="AM397" s="178"/>
      <c r="AN397" s="178"/>
      <c r="AO397" s="178"/>
      <c r="AP397" s="497"/>
      <c r="AQ397" s="537"/>
      <c r="FM397" s="89"/>
    </row>
    <row r="398" spans="1:181" s="78" customFormat="1" ht="13.5" customHeight="1" x14ac:dyDescent="0.25">
      <c r="A398" s="468"/>
      <c r="B398" s="128" t="s">
        <v>686</v>
      </c>
      <c r="C398" s="200"/>
      <c r="D398" s="200"/>
      <c r="E398" s="200"/>
      <c r="F398" s="465"/>
      <c r="G398" s="200"/>
      <c r="H398" s="200"/>
      <c r="I398" s="200"/>
      <c r="J398" s="203"/>
      <c r="K398" s="497"/>
      <c r="L398" s="497"/>
      <c r="M398" s="497"/>
      <c r="N398" s="497"/>
      <c r="O398" s="510"/>
      <c r="P398" s="497"/>
      <c r="Q398" s="130"/>
      <c r="R398" s="133"/>
      <c r="S398" s="178"/>
      <c r="T398" s="178"/>
      <c r="U398" s="178"/>
      <c r="V398" s="178" t="str">
        <f t="shared" si="185"/>
        <v/>
      </c>
      <c r="W398" s="178"/>
      <c r="X398" s="178"/>
      <c r="Y398" s="178"/>
      <c r="Z398" s="131" t="str">
        <f>IFERROR(IF(AND(S397="Probabilidad",S398="Probabilidad"),(Z397-(+Z397*V398)),IF(S398="Probabilidad",(L397-(+L397*V398)),IF(S398="Impacto",Z397,""))),"")</f>
        <v/>
      </c>
      <c r="AA398" s="219"/>
      <c r="AB398" s="219"/>
      <c r="AC398" s="497"/>
      <c r="AD398" s="182" t="str">
        <f t="shared" ref="AD398:AD401" si="186">IFERROR(IF(AND(S397="Impacto",V398="Impacto"),(AD397-(+AD397*V398)),IF(S398="Impacto",(O397-(+O397*V398)),IF(S398="Probabilidad",AD397,""))),"")</f>
        <v/>
      </c>
      <c r="AE398" s="219"/>
      <c r="AF398" s="219"/>
      <c r="AG398" s="497"/>
      <c r="AH398" s="497"/>
      <c r="AI398" s="497"/>
      <c r="AJ398" s="178"/>
      <c r="AK398" s="178"/>
      <c r="AL398" s="152"/>
      <c r="AM398" s="178"/>
      <c r="AN398" s="178"/>
      <c r="AO398" s="178"/>
      <c r="AP398" s="497"/>
      <c r="AQ398" s="537"/>
      <c r="FM398" s="89"/>
    </row>
    <row r="399" spans="1:181" s="78" customFormat="1" ht="13.5" customHeight="1" x14ac:dyDescent="0.25">
      <c r="A399" s="468"/>
      <c r="B399" s="128" t="s">
        <v>686</v>
      </c>
      <c r="C399" s="200"/>
      <c r="D399" s="200"/>
      <c r="E399" s="200"/>
      <c r="F399" s="465"/>
      <c r="G399" s="200"/>
      <c r="H399" s="200"/>
      <c r="I399" s="200"/>
      <c r="J399" s="203"/>
      <c r="K399" s="497"/>
      <c r="L399" s="497"/>
      <c r="M399" s="497"/>
      <c r="N399" s="497"/>
      <c r="O399" s="510"/>
      <c r="P399" s="497"/>
      <c r="Q399" s="130"/>
      <c r="R399" s="133"/>
      <c r="S399" s="178"/>
      <c r="T399" s="178"/>
      <c r="U399" s="178"/>
      <c r="V399" s="178" t="str">
        <f t="shared" si="185"/>
        <v/>
      </c>
      <c r="W399" s="178"/>
      <c r="X399" s="178"/>
      <c r="Y399" s="178"/>
      <c r="Z399" s="131" t="str">
        <f>IFERROR(IF(AND(S398="Probabilidad",S399="Probabilidad"),(Z398-(+Z398*V399)),IF(S399="Probabilidad",(L398-(+L398*V399)),IF(S399="Impacto",Z398,""))),"")</f>
        <v/>
      </c>
      <c r="AA399" s="219"/>
      <c r="AB399" s="219"/>
      <c r="AC399" s="497"/>
      <c r="AD399" s="182" t="str">
        <f t="shared" si="186"/>
        <v/>
      </c>
      <c r="AE399" s="219"/>
      <c r="AF399" s="219"/>
      <c r="AG399" s="497"/>
      <c r="AH399" s="497"/>
      <c r="AI399" s="497"/>
      <c r="AJ399" s="178"/>
      <c r="AK399" s="178"/>
      <c r="AL399" s="152"/>
      <c r="AM399" s="178"/>
      <c r="AN399" s="178"/>
      <c r="AO399" s="178"/>
      <c r="AP399" s="497"/>
      <c r="AQ399" s="537"/>
      <c r="FM399" s="89"/>
    </row>
    <row r="400" spans="1:181" s="78" customFormat="1" ht="13.5" customHeight="1" x14ac:dyDescent="0.25">
      <c r="A400" s="468"/>
      <c r="B400" s="128" t="s">
        <v>686</v>
      </c>
      <c r="C400" s="200"/>
      <c r="D400" s="200"/>
      <c r="E400" s="200"/>
      <c r="F400" s="465"/>
      <c r="G400" s="200"/>
      <c r="H400" s="200"/>
      <c r="I400" s="200"/>
      <c r="J400" s="203"/>
      <c r="K400" s="497"/>
      <c r="L400" s="497"/>
      <c r="M400" s="497"/>
      <c r="N400" s="497"/>
      <c r="O400" s="510"/>
      <c r="P400" s="497"/>
      <c r="Q400" s="130"/>
      <c r="R400" s="133"/>
      <c r="S400" s="178"/>
      <c r="T400" s="178"/>
      <c r="U400" s="178"/>
      <c r="V400" s="178" t="str">
        <f t="shared" si="185"/>
        <v/>
      </c>
      <c r="W400" s="178"/>
      <c r="X400" s="178"/>
      <c r="Y400" s="178"/>
      <c r="Z400" s="131" t="str">
        <f>IFERROR(IF(AND(S399="Probabilidad",S400="Probabilidad"),(Z399-(+Z399*V400)),IF(S400="Probabilidad",(L399-(+L399*V400)),IF(S400="Impacto",Z399,""))),"")</f>
        <v/>
      </c>
      <c r="AA400" s="219"/>
      <c r="AB400" s="219"/>
      <c r="AC400" s="497"/>
      <c r="AD400" s="182" t="str">
        <f t="shared" si="186"/>
        <v/>
      </c>
      <c r="AE400" s="219"/>
      <c r="AF400" s="219"/>
      <c r="AG400" s="497"/>
      <c r="AH400" s="497"/>
      <c r="AI400" s="497"/>
      <c r="AJ400" s="178"/>
      <c r="AK400" s="178"/>
      <c r="AL400" s="152"/>
      <c r="AM400" s="178"/>
      <c r="AN400" s="178"/>
      <c r="AO400" s="178"/>
      <c r="AP400" s="497"/>
      <c r="AQ400" s="537"/>
      <c r="FM400" s="89"/>
    </row>
    <row r="401" spans="1:173" s="78" customFormat="1" ht="13.5" customHeight="1" thickBot="1" x14ac:dyDescent="0.3">
      <c r="A401" s="469"/>
      <c r="B401" s="128" t="s">
        <v>686</v>
      </c>
      <c r="C401" s="201"/>
      <c r="D401" s="201"/>
      <c r="E401" s="201"/>
      <c r="F401" s="466"/>
      <c r="G401" s="201"/>
      <c r="H401" s="201"/>
      <c r="I401" s="201"/>
      <c r="J401" s="204"/>
      <c r="K401" s="498"/>
      <c r="L401" s="498"/>
      <c r="M401" s="498"/>
      <c r="N401" s="498"/>
      <c r="O401" s="511"/>
      <c r="P401" s="498"/>
      <c r="Q401" s="130"/>
      <c r="R401" s="133"/>
      <c r="S401" s="178"/>
      <c r="T401" s="178"/>
      <c r="U401" s="178"/>
      <c r="V401" s="178" t="str">
        <f t="shared" si="185"/>
        <v/>
      </c>
      <c r="W401" s="178"/>
      <c r="X401" s="178"/>
      <c r="Y401" s="178"/>
      <c r="Z401" s="131" t="str">
        <f>IFERROR(IF(AND(S400="Probabilidad",S401="Probabilidad"),(Z400-(+Z400*V401)),IF(S401="Probabilidad",(L400-(+L400*V401)),IF(S401="Impacto",Z400,""))),"")</f>
        <v/>
      </c>
      <c r="AA401" s="220"/>
      <c r="AB401" s="220"/>
      <c r="AC401" s="498"/>
      <c r="AD401" s="182" t="str">
        <f t="shared" si="186"/>
        <v/>
      </c>
      <c r="AE401" s="220"/>
      <c r="AF401" s="220"/>
      <c r="AG401" s="498"/>
      <c r="AH401" s="498"/>
      <c r="AI401" s="498"/>
      <c r="AJ401" s="178"/>
      <c r="AK401" s="178"/>
      <c r="AL401" s="152"/>
      <c r="AM401" s="178"/>
      <c r="AN401" s="178"/>
      <c r="AO401" s="178"/>
      <c r="AP401" s="498"/>
      <c r="AQ401" s="538"/>
      <c r="FM401" s="89"/>
      <c r="FQ401" s="79"/>
    </row>
    <row r="402" spans="1:173" s="78" customFormat="1" ht="13.5" customHeight="1" x14ac:dyDescent="0.25">
      <c r="A402" s="446">
        <v>74</v>
      </c>
      <c r="B402" s="126" t="s">
        <v>699</v>
      </c>
      <c r="C402" s="472" t="s">
        <v>233</v>
      </c>
      <c r="D402" s="470" t="s">
        <v>700</v>
      </c>
      <c r="E402" s="470" t="s">
        <v>701</v>
      </c>
      <c r="F402" s="471" t="s">
        <v>702</v>
      </c>
      <c r="G402" s="463" t="s">
        <v>149</v>
      </c>
      <c r="H402" s="199" t="s">
        <v>150</v>
      </c>
      <c r="I402" s="462" t="s">
        <v>151</v>
      </c>
      <c r="J402" s="461">
        <v>40</v>
      </c>
      <c r="K402" s="496" t="str">
        <f>IF(AND(J402&lt;=2),"Muy Baja",IF(AND(J402&gt;=3,J402&lt;=23),"Baja",IF(AND(J402&gt;=24,J402&lt;=499),"Media",IF(AND(J402&gt;=500,J402&lt;=4999),"Alta",IF(AND(J402&gt;=5000),"Muy Alta",FALSE)))))</f>
        <v>Media</v>
      </c>
      <c r="L402" s="496" t="str">
        <f>IF(AND(J402&lt;=2),"20%",IF(AND(J402&gt;=3,J402&lt;=23),"40%",IF(AND(J402&gt;=24,J402&lt;=499),"60%",IF(AND(J402&gt;=500,J402&lt;=4999),"80%",IF(AND(J402&gt;=5000),"100%",FALSE)))))</f>
        <v>60%</v>
      </c>
      <c r="M402" s="496" t="s">
        <v>160</v>
      </c>
      <c r="N402" s="496" t="str">
        <f>IF(AND(M402=$FQ$4),"Leve",IF(AND(M402=$FQ$5),"Menor",IF(AND(M402=$FQ$6),"Moderado",IF(AND(M402=$FQ$7),"mayor",IF(AND(M402=$FQ$8),"Catastrófico",IF(AND(M402=$FQ$10),"Leve",IF(AND(M402=$FQ$11),"Menor",IF(AND(M402=$FQ$12),"Moderado",IF(AND(M402=$FQ$13),"Mayor",IF(AND(M402=$FQ$14),"Catastrófico",FALSE))))))))))</f>
        <v>Menor</v>
      </c>
      <c r="O402" s="509" t="str">
        <f>IF(AND(N402="Leve"),"20%",IF(AND(N402="Menor"),"40%",IF(AND(N402="Moderado"),"60%",IF(AND(N402="Mayor"),"80%",IF(AND(N402="Catastrófico"),"100%","")))))</f>
        <v>40%</v>
      </c>
      <c r="P402" s="496" t="str">
        <f>INDEX('[12]MATRIZ RIESGO'!$D$6:$H$10,MATCH(K402,'[12]MATRIZ RIESGO'!$C$6:$C$10,),MATCH(N402,'[12]MATRIZ RIESGO'!$D$5:$H$5,))</f>
        <v>Moderado</v>
      </c>
      <c r="Q402" s="130">
        <v>1</v>
      </c>
      <c r="R402" s="130" t="s">
        <v>752</v>
      </c>
      <c r="S402" s="178" t="s">
        <v>237</v>
      </c>
      <c r="T402" s="178" t="s">
        <v>152</v>
      </c>
      <c r="U402" s="178" t="s">
        <v>153</v>
      </c>
      <c r="V402" s="178" t="str">
        <f>IF(AND(T402=$FS$2,U402=$FT$2),"50%",IF(AND(T402=$FS$2,U402=$FT$3),"40%",IF(AND(T402=$FS$3,U402=$FT$2),"40%",IF(AND(T402=$FS$3,U402=$FT$3),"30%",IF(AND(T402=$FS$4,U402=$FT$2),"35%",IF(AND(T402=$FS$4,U402=$FT$3),"25%",""))))))</f>
        <v>40%</v>
      </c>
      <c r="W402" s="178" t="s">
        <v>154</v>
      </c>
      <c r="X402" s="178" t="s">
        <v>155</v>
      </c>
      <c r="Y402" s="178" t="s">
        <v>156</v>
      </c>
      <c r="Z402" s="131">
        <f>IFERROR(IF(S402="Probabilidad",(L402-(+L402*V402)),IF(S402="Impacto",L402,"")),"")</f>
        <v>0.36</v>
      </c>
      <c r="AA402" s="218">
        <f>LOOKUP(2,1/(Z402:Z407&lt;&gt;""),Z402:Z407)</f>
        <v>0.36</v>
      </c>
      <c r="AB402" s="218">
        <f>AA402*1</f>
        <v>0.36</v>
      </c>
      <c r="AC402" s="496" t="str">
        <f>IF(AND(AB402&lt;=20%),"Muy Baja",IF(AND(AB402&gt;=21%,AB402&lt;=40%),"Baja",IF(AND(AB402&gt;=41%,AB402&lt;=60%),"Media",IF(AND(AB402&gt;=61%,AB402&lt;=80%),"Alta",IF(AND(AB402&gt;=81%,AB402&gt;=100%),"Muy Alta",FALSE)))))</f>
        <v>Baja</v>
      </c>
      <c r="AD402" s="182" t="str">
        <f>IFERROR(IF(S402="Impacto",(O402-(+O402*V402)),IF(S402="Probabilidad",O402,"")),"")</f>
        <v>40%</v>
      </c>
      <c r="AE402" s="218" t="str">
        <f>LOOKUP(2,1/(AD402:AD407&lt;&gt;""),AD402:AD407)</f>
        <v>40%</v>
      </c>
      <c r="AF402" s="218">
        <f>AE402*1</f>
        <v>0.4</v>
      </c>
      <c r="AG402" s="496" t="str">
        <f>CHOOSE((AF402&gt;=0%)+(AF402&gt;=21%)+(AF402&gt;=41%)+(AF402&gt;=61%)+(AF402&gt;=81%),"Leve","Menor","Moderado","Mayor","Catastrófico")</f>
        <v>Menor</v>
      </c>
      <c r="AH402" s="496" t="str">
        <f>INDEX('[12]MATRIZ RIESGO'!$D$6:$H$10,MATCH(AC402,'[12]MATRIZ RIESGO'!$C$6:$C$10,),MATCH(AG402,'[12]MATRIZ RIESGO'!$D$5:$H$5,))</f>
        <v>Moderado</v>
      </c>
      <c r="AI402" s="496" t="s">
        <v>77</v>
      </c>
      <c r="AJ402" s="130"/>
      <c r="AK402" s="130"/>
      <c r="AL402" s="156"/>
      <c r="AM402" s="178"/>
      <c r="AN402" s="130"/>
      <c r="AO402" s="157"/>
      <c r="AP402" s="496" t="s">
        <v>703</v>
      </c>
      <c r="AQ402" s="539" t="s">
        <v>113</v>
      </c>
      <c r="FM402" s="89"/>
      <c r="FP402" s="78" t="s">
        <v>255</v>
      </c>
      <c r="FQ402" s="80" t="s">
        <v>256</v>
      </c>
    </row>
    <row r="403" spans="1:173" s="78" customFormat="1" ht="13.5" customHeight="1" x14ac:dyDescent="0.2">
      <c r="A403" s="447"/>
      <c r="B403" s="126" t="s">
        <v>699</v>
      </c>
      <c r="C403" s="325"/>
      <c r="D403" s="441"/>
      <c r="E403" s="441"/>
      <c r="F403" s="441"/>
      <c r="G403" s="438"/>
      <c r="H403" s="200"/>
      <c r="I403" s="453"/>
      <c r="J403" s="450"/>
      <c r="K403" s="497"/>
      <c r="L403" s="497"/>
      <c r="M403" s="497"/>
      <c r="N403" s="497"/>
      <c r="O403" s="510"/>
      <c r="P403" s="497"/>
      <c r="Q403" s="130"/>
      <c r="R403" s="130"/>
      <c r="S403" s="178"/>
      <c r="T403" s="178"/>
      <c r="U403" s="178"/>
      <c r="V403" s="178" t="str">
        <f t="shared" ref="V403:V407" si="187">IF(AND(T403=$FS$2,U403=$FT$2),"50%",IF(AND(T403=$FS$2,U403=$FT$3),"40%",IF(AND(T403=$FS$3,U403=$FT$2),"40%",IF(AND(T403=$FS$3,U403=$FT$3),"30%",IF(AND(T403=$FS$4,U403=$FT$2),"35%",IF(AND(T403=$FS$4,U403=$FT$3),"25%",""))))))</f>
        <v/>
      </c>
      <c r="W403" s="178"/>
      <c r="X403" s="178"/>
      <c r="Y403" s="178"/>
      <c r="Z403" s="131" t="str">
        <f>IFERROR(IF(AND(S402="Probabilidad",S403="Probabilidad"),(Z402-(+Z402*V403)),IF(S403="Probabilidad",(L402-(+L402*V403)),IF(S403="Impacto",Z402,""))),"")</f>
        <v/>
      </c>
      <c r="AA403" s="219"/>
      <c r="AB403" s="219"/>
      <c r="AC403" s="497"/>
      <c r="AD403" s="182" t="str">
        <f>IFERROR(IF(AND(S402="Impacto",V403="Impacto"),(AD402-(+AD402*V403)),IF(S403="Impacto",(O402-(+O402*V403)),IF(S403="Probabilidad",AD402,""))),"")</f>
        <v/>
      </c>
      <c r="AE403" s="219"/>
      <c r="AF403" s="219"/>
      <c r="AG403" s="497"/>
      <c r="AH403" s="497"/>
      <c r="AI403" s="497"/>
      <c r="AJ403" s="130"/>
      <c r="AK403" s="130"/>
      <c r="AL403" s="156"/>
      <c r="AM403" s="178"/>
      <c r="AN403" s="130"/>
      <c r="AO403" s="157"/>
      <c r="AP403" s="497"/>
      <c r="AQ403" s="537"/>
      <c r="FM403" s="89"/>
      <c r="FP403" s="78" t="s">
        <v>196</v>
      </c>
      <c r="FQ403" s="87" t="s">
        <v>158</v>
      </c>
    </row>
    <row r="404" spans="1:173" s="78" customFormat="1" ht="13.5" customHeight="1" x14ac:dyDescent="0.2">
      <c r="A404" s="447"/>
      <c r="B404" s="126" t="s">
        <v>699</v>
      </c>
      <c r="C404" s="325"/>
      <c r="D404" s="441"/>
      <c r="E404" s="441"/>
      <c r="F404" s="441"/>
      <c r="G404" s="438"/>
      <c r="H404" s="200"/>
      <c r="I404" s="453"/>
      <c r="J404" s="450"/>
      <c r="K404" s="497"/>
      <c r="L404" s="497"/>
      <c r="M404" s="497"/>
      <c r="N404" s="497"/>
      <c r="O404" s="510"/>
      <c r="P404" s="497"/>
      <c r="Q404" s="130"/>
      <c r="R404" s="130"/>
      <c r="S404" s="178"/>
      <c r="T404" s="178"/>
      <c r="U404" s="178"/>
      <c r="V404" s="178" t="str">
        <f t="shared" si="187"/>
        <v/>
      </c>
      <c r="W404" s="178"/>
      <c r="X404" s="178"/>
      <c r="Y404" s="178"/>
      <c r="Z404" s="131" t="str">
        <f>IFERROR(IF(AND(S403="Probabilidad",S404="Probabilidad"),(Z403-(+Z403*V404)),IF(S404="Probabilidad",(L403-(+L403*V404)),IF(S404="Impacto",Z403,""))),"")</f>
        <v/>
      </c>
      <c r="AA404" s="219"/>
      <c r="AB404" s="219"/>
      <c r="AC404" s="497"/>
      <c r="AD404" s="182" t="str">
        <f t="shared" ref="AD404:AD407" si="188">IFERROR(IF(AND(S403="Impacto",V404="Impacto"),(AD403-(+AD403*V404)),IF(S404="Impacto",(O403-(+O403*V404)),IF(S404="Probabilidad",AD403,""))),"")</f>
        <v/>
      </c>
      <c r="AE404" s="219"/>
      <c r="AF404" s="219"/>
      <c r="AG404" s="497"/>
      <c r="AH404" s="497"/>
      <c r="AI404" s="497"/>
      <c r="AJ404" s="130"/>
      <c r="AK404" s="130"/>
      <c r="AL404" s="132"/>
      <c r="AM404" s="130"/>
      <c r="AN404" s="130"/>
      <c r="AO404" s="157"/>
      <c r="AP404" s="497"/>
      <c r="AQ404" s="537"/>
      <c r="FM404" s="89"/>
      <c r="FQ404" s="87" t="s">
        <v>160</v>
      </c>
    </row>
    <row r="405" spans="1:173" s="78" customFormat="1" ht="13.5" customHeight="1" x14ac:dyDescent="0.2">
      <c r="A405" s="447"/>
      <c r="B405" s="126" t="s">
        <v>699</v>
      </c>
      <c r="C405" s="325"/>
      <c r="D405" s="441"/>
      <c r="E405" s="441"/>
      <c r="F405" s="441"/>
      <c r="G405" s="438"/>
      <c r="H405" s="200"/>
      <c r="I405" s="453"/>
      <c r="J405" s="450"/>
      <c r="K405" s="497"/>
      <c r="L405" s="497"/>
      <c r="M405" s="497"/>
      <c r="N405" s="497"/>
      <c r="O405" s="510"/>
      <c r="P405" s="497"/>
      <c r="Q405" s="130"/>
      <c r="R405" s="130"/>
      <c r="S405" s="178"/>
      <c r="T405" s="178"/>
      <c r="U405" s="178"/>
      <c r="V405" s="178" t="str">
        <f t="shared" si="187"/>
        <v/>
      </c>
      <c r="W405" s="178"/>
      <c r="X405" s="178"/>
      <c r="Y405" s="178"/>
      <c r="Z405" s="131" t="str">
        <f>IFERROR(IF(AND(S404="Probabilidad",S405="Probabilidad"),(Z404-(+Z404*V405)),IF(S405="Probabilidad",(L404-(+L404*V405)),IF(S405="Impacto",Z404,""))),"")</f>
        <v/>
      </c>
      <c r="AA405" s="219"/>
      <c r="AB405" s="219"/>
      <c r="AC405" s="497"/>
      <c r="AD405" s="182" t="str">
        <f t="shared" si="188"/>
        <v/>
      </c>
      <c r="AE405" s="219"/>
      <c r="AF405" s="219"/>
      <c r="AG405" s="497"/>
      <c r="AH405" s="497"/>
      <c r="AI405" s="497"/>
      <c r="AJ405" s="130"/>
      <c r="AK405" s="130"/>
      <c r="AL405" s="156"/>
      <c r="AM405" s="130"/>
      <c r="AN405" s="130"/>
      <c r="AO405" s="157"/>
      <c r="AP405" s="497"/>
      <c r="AQ405" s="537"/>
      <c r="FM405" s="89"/>
      <c r="FQ405" s="87" t="s">
        <v>162</v>
      </c>
    </row>
    <row r="406" spans="1:173" s="78" customFormat="1" ht="13.5" customHeight="1" x14ac:dyDescent="0.2">
      <c r="A406" s="447"/>
      <c r="B406" s="126" t="s">
        <v>699</v>
      </c>
      <c r="C406" s="325"/>
      <c r="D406" s="441"/>
      <c r="E406" s="441"/>
      <c r="F406" s="441"/>
      <c r="G406" s="438"/>
      <c r="H406" s="200"/>
      <c r="I406" s="453"/>
      <c r="J406" s="450"/>
      <c r="K406" s="497"/>
      <c r="L406" s="497"/>
      <c r="M406" s="497"/>
      <c r="N406" s="497"/>
      <c r="O406" s="510"/>
      <c r="P406" s="497"/>
      <c r="Q406" s="130"/>
      <c r="R406" s="130"/>
      <c r="S406" s="178"/>
      <c r="T406" s="178"/>
      <c r="U406" s="178"/>
      <c r="V406" s="178" t="str">
        <f t="shared" si="187"/>
        <v/>
      </c>
      <c r="W406" s="178"/>
      <c r="X406" s="178"/>
      <c r="Y406" s="178"/>
      <c r="Z406" s="131" t="str">
        <f>IFERROR(IF(AND(S405="Probabilidad",S406="Probabilidad"),(Z405-(+Z405*V406)),IF(S406="Probabilidad",(L405-(+L405*V406)),IF(S406="Impacto",Z405,""))),"")</f>
        <v/>
      </c>
      <c r="AA406" s="219"/>
      <c r="AB406" s="219"/>
      <c r="AC406" s="497"/>
      <c r="AD406" s="182" t="str">
        <f t="shared" si="188"/>
        <v/>
      </c>
      <c r="AE406" s="219"/>
      <c r="AF406" s="219"/>
      <c r="AG406" s="497"/>
      <c r="AH406" s="497"/>
      <c r="AI406" s="497"/>
      <c r="AJ406" s="130"/>
      <c r="AK406" s="130"/>
      <c r="AL406" s="156"/>
      <c r="AM406" s="130"/>
      <c r="AN406" s="130"/>
      <c r="AO406" s="157"/>
      <c r="AP406" s="497"/>
      <c r="AQ406" s="537"/>
      <c r="FM406" s="89"/>
      <c r="FQ406" s="87" t="s">
        <v>257</v>
      </c>
    </row>
    <row r="407" spans="1:173" s="78" customFormat="1" ht="13.5" customHeight="1" x14ac:dyDescent="0.2">
      <c r="A407" s="460"/>
      <c r="B407" s="126" t="s">
        <v>699</v>
      </c>
      <c r="C407" s="459"/>
      <c r="D407" s="458"/>
      <c r="E407" s="458"/>
      <c r="F407" s="458"/>
      <c r="G407" s="457"/>
      <c r="H407" s="201"/>
      <c r="I407" s="456"/>
      <c r="J407" s="455"/>
      <c r="K407" s="498"/>
      <c r="L407" s="498"/>
      <c r="M407" s="498"/>
      <c r="N407" s="498"/>
      <c r="O407" s="511"/>
      <c r="P407" s="498"/>
      <c r="Q407" s="130"/>
      <c r="R407" s="130"/>
      <c r="S407" s="178"/>
      <c r="T407" s="178"/>
      <c r="U407" s="178"/>
      <c r="V407" s="178" t="str">
        <f t="shared" si="187"/>
        <v/>
      </c>
      <c r="W407" s="178"/>
      <c r="X407" s="178"/>
      <c r="Y407" s="178"/>
      <c r="Z407" s="131" t="str">
        <f>IFERROR(IF(AND(S406="Probabilidad",S407="Probabilidad"),(Z406-(+Z406*V407)),IF(S407="Probabilidad",(L406-(+L406*V407)),IF(S407="Impacto",Z406,""))),"")</f>
        <v/>
      </c>
      <c r="AA407" s="220"/>
      <c r="AB407" s="220"/>
      <c r="AC407" s="498"/>
      <c r="AD407" s="182" t="str">
        <f t="shared" si="188"/>
        <v/>
      </c>
      <c r="AE407" s="220"/>
      <c r="AF407" s="220"/>
      <c r="AG407" s="498"/>
      <c r="AH407" s="498"/>
      <c r="AI407" s="498"/>
      <c r="AJ407" s="130"/>
      <c r="AK407" s="130"/>
      <c r="AL407" s="156"/>
      <c r="AM407" s="130"/>
      <c r="AN407" s="130"/>
      <c r="AO407" s="157"/>
      <c r="AP407" s="498"/>
      <c r="AQ407" s="538"/>
      <c r="FM407" s="89"/>
      <c r="FQ407" s="87" t="s">
        <v>170</v>
      </c>
    </row>
    <row r="408" spans="1:173" s="78" customFormat="1" ht="13.5" customHeight="1" x14ac:dyDescent="0.25">
      <c r="A408" s="446">
        <v>75</v>
      </c>
      <c r="B408" s="126" t="s">
        <v>699</v>
      </c>
      <c r="C408" s="444" t="s">
        <v>248</v>
      </c>
      <c r="D408" s="440" t="s">
        <v>704</v>
      </c>
      <c r="E408" s="440" t="s">
        <v>705</v>
      </c>
      <c r="F408" s="440" t="s">
        <v>706</v>
      </c>
      <c r="G408" s="437" t="s">
        <v>149</v>
      </c>
      <c r="H408" s="199" t="s">
        <v>150</v>
      </c>
      <c r="I408" s="452" t="s">
        <v>151</v>
      </c>
      <c r="J408" s="449">
        <v>8</v>
      </c>
      <c r="K408" s="496" t="str">
        <f>IF(AND(J408&lt;=2),"Muy Baja",IF(AND(J408&gt;=3,J408&lt;=23),"Baja",IF(AND(J408&gt;=24,J408&lt;=499),"Media",IF(AND(J408&gt;=500,J408&lt;=4999),"Alta",IF(AND(J408&gt;=5000),"Muy Alta",FALSE)))))</f>
        <v>Baja</v>
      </c>
      <c r="L408" s="496" t="str">
        <f>IF(AND(J408&lt;=2),"20%",IF(AND(J408&gt;=3,J408&lt;=23),"40%",IF(AND(J408&gt;=24,J408&lt;=499),"60%",IF(AND(J408&gt;=500,J408&lt;=4999),"80%",IF(AND(J408&gt;=5000),"100%",FALSE)))))</f>
        <v>40%</v>
      </c>
      <c r="M408" s="496" t="s">
        <v>160</v>
      </c>
      <c r="N408" s="496" t="str">
        <f>IF(AND(M408=$FQ$4),"Leve",IF(AND(M408=$FQ$5),"Menor",IF(AND(M408=$FQ$6),"Moderado",IF(AND(M408=$FQ$7),"mayor",IF(AND(M408=$FQ$8),"Catastrófico",IF(AND(M408=$FQ$10),"Leve",IF(AND(M408=$FQ$11),"Menor",IF(AND(M408=$FQ$12),"Moderado",IF(AND(M408=$FQ$13),"Mayor",IF(AND(M408=$FQ$14),"Catastrófico",FALSE))))))))))</f>
        <v>Menor</v>
      </c>
      <c r="O408" s="509" t="str">
        <f>IF(AND(N408="Leve"),"20%",IF(AND(N408="Menor"),"40%",IF(AND(N408="Moderado"),"60%",IF(AND(N408="Mayor"),"80%",IF(AND(N408="Catastrófico"),"100%","")))))</f>
        <v>40%</v>
      </c>
      <c r="P408" s="496" t="str">
        <f>INDEX('[12]MATRIZ RIESGO'!$D$6:$H$10,MATCH(K408,'[12]MATRIZ RIESGO'!$C$6:$C$10,),MATCH(N408,'[12]MATRIZ RIESGO'!$D$5:$H$5,))</f>
        <v>Moderado</v>
      </c>
      <c r="Q408" s="130">
        <v>1</v>
      </c>
      <c r="R408" s="130" t="s">
        <v>753</v>
      </c>
      <c r="S408" s="178" t="s">
        <v>237</v>
      </c>
      <c r="T408" s="178" t="s">
        <v>152</v>
      </c>
      <c r="U408" s="178" t="s">
        <v>153</v>
      </c>
      <c r="V408" s="178" t="str">
        <f>IF(AND(T408=$FS$2,U408=$FT$2),"50%",IF(AND(T408=$FS$2,U408=$FT$3),"40%",IF(AND(T408=$FS$3,U408=$FT$2),"40%",IF(AND(T408=$FS$3,U408=$FT$3),"30%",IF(AND(T408=$FS$4,U408=$FT$2),"35%",IF(AND(T408=$FS$4,U408=$FT$3),"25%",""))))))</f>
        <v>40%</v>
      </c>
      <c r="W408" s="178" t="s">
        <v>154</v>
      </c>
      <c r="X408" s="178" t="s">
        <v>155</v>
      </c>
      <c r="Y408" s="178" t="s">
        <v>156</v>
      </c>
      <c r="Z408" s="131">
        <f>IFERROR(IF(S408="Probabilidad",(L408-(+L408*V408)),IF(S408="Impacto",L408,"")),"")</f>
        <v>0.24</v>
      </c>
      <c r="AA408" s="218">
        <f>LOOKUP(2,1/(Z408:Z413&lt;&gt;""),Z408:Z413)</f>
        <v>0.24</v>
      </c>
      <c r="AB408" s="218">
        <f t="shared" ref="AB408" si="189">AA408*1</f>
        <v>0.24</v>
      </c>
      <c r="AC408" s="496" t="str">
        <f t="shared" ref="AC408" si="190">IF(AND(AB408&lt;=20%),"Muy Baja",IF(AND(AB408&gt;=21%,AB408&lt;=40%),"Baja",IF(AND(AB408&gt;=41%,AB408&lt;=60%),"Media",IF(AND(AB408&gt;=61%,AB408&lt;=80%),"Alta",IF(AND(AB408&gt;=81%,AB408&gt;=100%),"Muy Alta",FALSE)))))</f>
        <v>Baja</v>
      </c>
      <c r="AD408" s="182" t="str">
        <f>IFERROR(IF(S408="Impacto",(O408-(+O408*V408)),IF(S408="Probabilidad",O408,"")),"")</f>
        <v>40%</v>
      </c>
      <c r="AE408" s="218" t="str">
        <f>LOOKUP(2,1/(AD408:AD413&lt;&gt;""),AD408:AD413)</f>
        <v>40%</v>
      </c>
      <c r="AF408" s="218">
        <f>AE408*1</f>
        <v>0.4</v>
      </c>
      <c r="AG408" s="496" t="str">
        <f t="shared" ref="AG408" si="191">CHOOSE((AF408&gt;=0%)+(AF408&gt;=21%)+(AF408&gt;=41%)+(AF408&gt;=61%)+(AF408&gt;=81%),"Leve","Menor","Moderado","Mayor","Catastrófico")</f>
        <v>Menor</v>
      </c>
      <c r="AH408" s="496" t="str">
        <f>INDEX('[12]MATRIZ RIESGO'!$D$6:$H$10,MATCH(AC408,'[12]MATRIZ RIESGO'!$C$6:$C$10,),MATCH(AG408,'[12]MATRIZ RIESGO'!$D$5:$H$5,))</f>
        <v>Moderado</v>
      </c>
      <c r="AI408" s="496" t="s">
        <v>111</v>
      </c>
      <c r="AJ408" s="130"/>
      <c r="AK408" s="130"/>
      <c r="AL408" s="156"/>
      <c r="AM408" s="130"/>
      <c r="AN408" s="130"/>
      <c r="AO408" s="157"/>
      <c r="AP408" s="496" t="s">
        <v>754</v>
      </c>
      <c r="AQ408" s="539" t="s">
        <v>113</v>
      </c>
      <c r="FM408" s="89"/>
      <c r="FQ408" s="80"/>
    </row>
    <row r="409" spans="1:173" s="78" customFormat="1" ht="13.5" customHeight="1" x14ac:dyDescent="0.25">
      <c r="A409" s="447"/>
      <c r="B409" s="126" t="s">
        <v>699</v>
      </c>
      <c r="C409" s="325"/>
      <c r="D409" s="441"/>
      <c r="E409" s="441"/>
      <c r="F409" s="441"/>
      <c r="G409" s="438"/>
      <c r="H409" s="200"/>
      <c r="I409" s="453"/>
      <c r="J409" s="450"/>
      <c r="K409" s="497"/>
      <c r="L409" s="497"/>
      <c r="M409" s="497"/>
      <c r="N409" s="497"/>
      <c r="O409" s="510"/>
      <c r="P409" s="497"/>
      <c r="Q409" s="130"/>
      <c r="R409" s="130"/>
      <c r="S409" s="178"/>
      <c r="T409" s="178"/>
      <c r="U409" s="178"/>
      <c r="V409" s="178" t="str">
        <f t="shared" ref="V409:V413" si="192">IF(AND(T409=$FS$2,U409=$FT$2),"50%",IF(AND(T409=$FS$2,U409=$FT$3),"40%",IF(AND(T409=$FS$3,U409=$FT$2),"40%",IF(AND(T409=$FS$3,U409=$FT$3),"30%",IF(AND(T409=$FS$4,U409=$FT$2),"35%",IF(AND(T409=$FS$4,U409=$FT$3),"25%",""))))))</f>
        <v/>
      </c>
      <c r="W409" s="178"/>
      <c r="X409" s="178"/>
      <c r="Y409" s="178"/>
      <c r="Z409" s="131" t="str">
        <f>IFERROR(IF(AND(S408="Probabilidad",S409="Probabilidad"),(Z408-(+Z408*V409)),IF(S409="Probabilidad",(L408-(+L408*V409)),IF(S409="Impacto",Z408,""))),"")</f>
        <v/>
      </c>
      <c r="AA409" s="219"/>
      <c r="AB409" s="219"/>
      <c r="AC409" s="497"/>
      <c r="AD409" s="182" t="str">
        <f>IFERROR(IF(AND(S408="Impacto",V409="Impacto"),(AD408-(+AD408*V409)),IF(S409="Impacto",(O408-(+O408*V409)),IF(S409="Probabilidad",AD408,""))),"")</f>
        <v/>
      </c>
      <c r="AE409" s="219"/>
      <c r="AF409" s="219"/>
      <c r="AG409" s="497"/>
      <c r="AH409" s="497"/>
      <c r="AI409" s="497"/>
      <c r="AJ409" s="130"/>
      <c r="AK409" s="130"/>
      <c r="AL409" s="156"/>
      <c r="AM409" s="130"/>
      <c r="AN409" s="130"/>
      <c r="AO409" s="157"/>
      <c r="AP409" s="497"/>
      <c r="AQ409" s="537"/>
      <c r="FM409" s="89"/>
    </row>
    <row r="410" spans="1:173" s="78" customFormat="1" ht="13.5" customHeight="1" x14ac:dyDescent="0.25">
      <c r="A410" s="447"/>
      <c r="B410" s="126" t="s">
        <v>699</v>
      </c>
      <c r="C410" s="325"/>
      <c r="D410" s="441"/>
      <c r="E410" s="441"/>
      <c r="F410" s="441"/>
      <c r="G410" s="438"/>
      <c r="H410" s="200"/>
      <c r="I410" s="453"/>
      <c r="J410" s="450"/>
      <c r="K410" s="497"/>
      <c r="L410" s="497"/>
      <c r="M410" s="497"/>
      <c r="N410" s="497"/>
      <c r="O410" s="510"/>
      <c r="P410" s="497"/>
      <c r="Q410" s="130"/>
      <c r="R410" s="130"/>
      <c r="S410" s="178"/>
      <c r="T410" s="178"/>
      <c r="U410" s="178"/>
      <c r="V410" s="178" t="str">
        <f t="shared" si="192"/>
        <v/>
      </c>
      <c r="W410" s="178"/>
      <c r="X410" s="178"/>
      <c r="Y410" s="178"/>
      <c r="Z410" s="131" t="str">
        <f>IFERROR(IF(AND(S409="Probabilidad",S410="Probabilidad"),(Z409-(+Z409*V410)),IF(S410="Probabilidad",(L409-(+L409*V410)),IF(S410="Impacto",Z409,""))),"")</f>
        <v/>
      </c>
      <c r="AA410" s="219"/>
      <c r="AB410" s="219"/>
      <c r="AC410" s="497"/>
      <c r="AD410" s="182" t="str">
        <f t="shared" ref="AD410:AD413" si="193">IFERROR(IF(AND(S409="Impacto",V410="Impacto"),(AD409-(+AD409*V410)),IF(S410="Impacto",(O409-(+O409*V410)),IF(S410="Probabilidad",AD409,""))),"")</f>
        <v/>
      </c>
      <c r="AE410" s="219"/>
      <c r="AF410" s="219"/>
      <c r="AG410" s="497"/>
      <c r="AH410" s="497"/>
      <c r="AI410" s="497"/>
      <c r="AJ410" s="130"/>
      <c r="AK410" s="130"/>
      <c r="AL410" s="156"/>
      <c r="AM410" s="130"/>
      <c r="AN410" s="130"/>
      <c r="AO410" s="157"/>
      <c r="AP410" s="497"/>
      <c r="AQ410" s="537"/>
      <c r="FM410" s="89"/>
    </row>
    <row r="411" spans="1:173" s="78" customFormat="1" ht="13.5" customHeight="1" x14ac:dyDescent="0.25">
      <c r="A411" s="447"/>
      <c r="B411" s="126" t="s">
        <v>699</v>
      </c>
      <c r="C411" s="325"/>
      <c r="D411" s="441"/>
      <c r="E411" s="441"/>
      <c r="F411" s="441"/>
      <c r="G411" s="438"/>
      <c r="H411" s="200"/>
      <c r="I411" s="453"/>
      <c r="J411" s="450"/>
      <c r="K411" s="497"/>
      <c r="L411" s="497"/>
      <c r="M411" s="497"/>
      <c r="N411" s="497"/>
      <c r="O411" s="510"/>
      <c r="P411" s="497"/>
      <c r="Q411" s="130"/>
      <c r="R411" s="130"/>
      <c r="S411" s="178"/>
      <c r="T411" s="178"/>
      <c r="U411" s="178"/>
      <c r="V411" s="178" t="str">
        <f t="shared" si="192"/>
        <v/>
      </c>
      <c r="W411" s="178"/>
      <c r="X411" s="178"/>
      <c r="Y411" s="178"/>
      <c r="Z411" s="131" t="str">
        <f>IFERROR(IF(AND(S410="Probabilidad",S411="Probabilidad"),(Z410-(+Z410*V411)),IF(S411="Probabilidad",(L410-(+L410*V411)),IF(S411="Impacto",Z410,""))),"")</f>
        <v/>
      </c>
      <c r="AA411" s="219"/>
      <c r="AB411" s="219"/>
      <c r="AC411" s="497"/>
      <c r="AD411" s="182" t="str">
        <f t="shared" si="193"/>
        <v/>
      </c>
      <c r="AE411" s="219"/>
      <c r="AF411" s="219"/>
      <c r="AG411" s="497"/>
      <c r="AH411" s="497"/>
      <c r="AI411" s="497"/>
      <c r="AJ411" s="130"/>
      <c r="AK411" s="130"/>
      <c r="AL411" s="156"/>
      <c r="AM411" s="130"/>
      <c r="AN411" s="130"/>
      <c r="AO411" s="157"/>
      <c r="AP411" s="497"/>
      <c r="AQ411" s="537"/>
      <c r="FM411" s="89"/>
    </row>
    <row r="412" spans="1:173" s="78" customFormat="1" ht="13.5" customHeight="1" x14ac:dyDescent="0.25">
      <c r="A412" s="447"/>
      <c r="B412" s="126" t="s">
        <v>699</v>
      </c>
      <c r="C412" s="325"/>
      <c r="D412" s="441"/>
      <c r="E412" s="441"/>
      <c r="F412" s="441"/>
      <c r="G412" s="438"/>
      <c r="H412" s="200"/>
      <c r="I412" s="453"/>
      <c r="J412" s="450"/>
      <c r="K412" s="497"/>
      <c r="L412" s="497"/>
      <c r="M412" s="497"/>
      <c r="N412" s="497"/>
      <c r="O412" s="510"/>
      <c r="P412" s="497"/>
      <c r="Q412" s="130"/>
      <c r="R412" s="130"/>
      <c r="S412" s="178"/>
      <c r="T412" s="178"/>
      <c r="U412" s="178"/>
      <c r="V412" s="178" t="str">
        <f t="shared" si="192"/>
        <v/>
      </c>
      <c r="W412" s="178"/>
      <c r="X412" s="178"/>
      <c r="Y412" s="178"/>
      <c r="Z412" s="131" t="str">
        <f>IFERROR(IF(AND(S411="Probabilidad",S412="Probabilidad"),(Z411-(+Z411*V412)),IF(S412="Probabilidad",(L411-(+L411*V412)),IF(S412="Impacto",Z411,""))),"")</f>
        <v/>
      </c>
      <c r="AA412" s="219"/>
      <c r="AB412" s="219"/>
      <c r="AC412" s="497"/>
      <c r="AD412" s="182" t="str">
        <f t="shared" si="193"/>
        <v/>
      </c>
      <c r="AE412" s="219"/>
      <c r="AF412" s="219"/>
      <c r="AG412" s="497"/>
      <c r="AH412" s="497"/>
      <c r="AI412" s="497"/>
      <c r="AJ412" s="130"/>
      <c r="AK412" s="130"/>
      <c r="AL412" s="156"/>
      <c r="AM412" s="130"/>
      <c r="AN412" s="130"/>
      <c r="AO412" s="157"/>
      <c r="AP412" s="497"/>
      <c r="AQ412" s="537"/>
      <c r="FM412" s="89"/>
    </row>
    <row r="413" spans="1:173" s="78" customFormat="1" ht="13.5" customHeight="1" x14ac:dyDescent="0.25">
      <c r="A413" s="460"/>
      <c r="B413" s="126" t="s">
        <v>699</v>
      </c>
      <c r="C413" s="459"/>
      <c r="D413" s="458"/>
      <c r="E413" s="458"/>
      <c r="F413" s="458"/>
      <c r="G413" s="457"/>
      <c r="H413" s="201"/>
      <c r="I413" s="456"/>
      <c r="J413" s="455"/>
      <c r="K413" s="498"/>
      <c r="L413" s="498"/>
      <c r="M413" s="498"/>
      <c r="N413" s="498"/>
      <c r="O413" s="511"/>
      <c r="P413" s="498"/>
      <c r="Q413" s="130"/>
      <c r="R413" s="130"/>
      <c r="S413" s="178"/>
      <c r="T413" s="178"/>
      <c r="U413" s="178"/>
      <c r="V413" s="178" t="str">
        <f t="shared" si="192"/>
        <v/>
      </c>
      <c r="W413" s="178"/>
      <c r="X413" s="178"/>
      <c r="Y413" s="178"/>
      <c r="Z413" s="131" t="str">
        <f>IFERROR(IF(AND(S412="Probabilidad",S413="Probabilidad"),(Z412-(+Z412*V413)),IF(S413="Probabilidad",(L412-(+L412*V413)),IF(S413="Impacto",Z412,""))),"")</f>
        <v/>
      </c>
      <c r="AA413" s="220"/>
      <c r="AB413" s="220"/>
      <c r="AC413" s="498"/>
      <c r="AD413" s="182" t="str">
        <f t="shared" si="193"/>
        <v/>
      </c>
      <c r="AE413" s="220"/>
      <c r="AF413" s="220"/>
      <c r="AG413" s="498"/>
      <c r="AH413" s="498"/>
      <c r="AI413" s="498"/>
      <c r="AJ413" s="130"/>
      <c r="AK413" s="130"/>
      <c r="AL413" s="156"/>
      <c r="AM413" s="130"/>
      <c r="AN413" s="130"/>
      <c r="AO413" s="157"/>
      <c r="AP413" s="498"/>
      <c r="AQ413" s="538"/>
      <c r="FM413" s="89"/>
      <c r="FQ413" s="79"/>
    </row>
    <row r="414" spans="1:173" s="78" customFormat="1" ht="13.5" customHeight="1" x14ac:dyDescent="0.25">
      <c r="A414" s="446">
        <v>76</v>
      </c>
      <c r="B414" s="126" t="s">
        <v>699</v>
      </c>
      <c r="C414" s="444" t="s">
        <v>248</v>
      </c>
      <c r="D414" s="440" t="s">
        <v>375</v>
      </c>
      <c r="E414" s="440" t="s">
        <v>707</v>
      </c>
      <c r="F414" s="440" t="s">
        <v>377</v>
      </c>
      <c r="G414" s="437" t="s">
        <v>265</v>
      </c>
      <c r="H414" s="199" t="s">
        <v>255</v>
      </c>
      <c r="I414" s="452" t="s">
        <v>708</v>
      </c>
      <c r="J414" s="449">
        <v>40</v>
      </c>
      <c r="K414" s="496" t="str">
        <f>IF(AND(J414&lt;=2),"Muy Baja",IF(AND(J414&gt;=3,J414&lt;=23),"Baja",IF(AND(J414&gt;=24,J414&lt;=499),"Media",IF(AND(J414&gt;=500,J414&lt;=4999),"Alta",IF(AND(J414&gt;=5000),"Muy Alta",FALSE)))))</f>
        <v>Media</v>
      </c>
      <c r="L414" s="496" t="str">
        <f>IF(AND(J414&lt;=2),"20%",IF(AND(J414&gt;=3,J414&lt;=23),"40%",IF(AND(J414&gt;=24,J414&lt;=499),"60%",IF(AND(J414&gt;=500,J414&lt;=4999),"80%",IF(AND(J414&gt;=5000),"100%",FALSE)))))</f>
        <v>60%</v>
      </c>
      <c r="M414" s="496" t="s">
        <v>160</v>
      </c>
      <c r="N414" s="496" t="str">
        <f>IF(AND(M414=$FQ$4),"Leve",IF(AND(M414=$FQ$5),"Menor",IF(AND(M414=$FQ$6),"Moderado",IF(AND(M414=$FQ$7),"mayor",IF(AND(M414=$FQ$8),"Catastrófico",IF(AND(M414=$FQ$10),"Leve",IF(AND(M414=$FQ$11),"Menor",IF(AND(M414=$FQ$12),"Moderado",IF(AND(M414=$FQ$13),"Mayor",IF(AND(M414=$FQ$14),"Catastrófico",FALSE))))))))))</f>
        <v>Menor</v>
      </c>
      <c r="O414" s="509" t="str">
        <f>IF(AND(N414="Leve"),"20%",IF(AND(N414="Menor"),"40%",IF(AND(N414="Moderado"),"60%",IF(AND(N414="Mayor"),"80%",IF(AND(N414="Catastrófico"),"100%","")))))</f>
        <v>40%</v>
      </c>
      <c r="P414" s="496" t="str">
        <f>INDEX('[12]MATRIZ RIESGO'!$D$6:$H$10,MATCH(K414,'[12]MATRIZ RIESGO'!$C$6:$C$10,),MATCH(N414,'[12]MATRIZ RIESGO'!$D$5:$H$5,))</f>
        <v>Moderado</v>
      </c>
      <c r="Q414" s="130">
        <v>1</v>
      </c>
      <c r="R414" s="130" t="s">
        <v>709</v>
      </c>
      <c r="S414" s="178" t="s">
        <v>237</v>
      </c>
      <c r="T414" s="178" t="s">
        <v>152</v>
      </c>
      <c r="U414" s="178" t="s">
        <v>153</v>
      </c>
      <c r="V414" s="178" t="str">
        <f>IF(AND(T414=$FS$2,U414=$FT$2),"50%",IF(AND(T414=$FS$2,U414=$FT$3),"40%",IF(AND(T414=$FS$3,U414=$FT$2),"40%",IF(AND(T414=$FS$3,U414=$FT$3),"30%",IF(AND(T414=$FS$4,U414=$FT$2),"35%",IF(AND(T414=$FS$4,U414=$FT$3),"25%",""))))))</f>
        <v>40%</v>
      </c>
      <c r="W414" s="178" t="s">
        <v>154</v>
      </c>
      <c r="X414" s="178" t="s">
        <v>155</v>
      </c>
      <c r="Y414" s="178" t="s">
        <v>156</v>
      </c>
      <c r="Z414" s="131">
        <f>IFERROR(IF(S414="Probabilidad",(L414-(+L414*V414)),IF(S414="Impacto",L414,"")),"")</f>
        <v>0.36</v>
      </c>
      <c r="AA414" s="218">
        <f>LOOKUP(2,1/(Z414:Z419&lt;&gt;""),Z414:Z419)</f>
        <v>0.36</v>
      </c>
      <c r="AB414" s="218">
        <f t="shared" ref="AB414" si="194">AA414*1</f>
        <v>0.36</v>
      </c>
      <c r="AC414" s="496" t="str">
        <f t="shared" ref="AC414" si="195">IF(AND(AB414&lt;=20%),"Muy Baja",IF(AND(AB414&gt;=21%,AB414&lt;=40%),"Baja",IF(AND(AB414&gt;=41%,AB414&lt;=60%),"Media",IF(AND(AB414&gt;=61%,AB414&lt;=80%),"Alta",IF(AND(AB414&gt;=81%,AB414&gt;=100%),"Muy Alta",FALSE)))))</f>
        <v>Baja</v>
      </c>
      <c r="AD414" s="182" t="str">
        <f>IFERROR(IF(S414="Impacto",(O414-(+O414*V414)),IF(S414="Probabilidad",O414,"")),"")</f>
        <v>40%</v>
      </c>
      <c r="AE414" s="218" t="str">
        <f>LOOKUP(2,1/(AD414:AD419&lt;&gt;""),AD414:AD419)</f>
        <v>40%</v>
      </c>
      <c r="AF414" s="218">
        <f>AE414*1</f>
        <v>0.4</v>
      </c>
      <c r="AG414" s="496" t="str">
        <f t="shared" ref="AG414" si="196">CHOOSE((AF414&gt;=0%)+(AF414&gt;=21%)+(AF414&gt;=41%)+(AF414&gt;=61%)+(AF414&gt;=81%),"Leve","Menor","Moderado","Mayor","Catastrófico")</f>
        <v>Menor</v>
      </c>
      <c r="AH414" s="496" t="str">
        <f>INDEX('[12]MATRIZ RIESGO'!$D$6:$H$10,MATCH(AC414,'[12]MATRIZ RIESGO'!$C$6:$C$10,),MATCH(AG414,'[12]MATRIZ RIESGO'!$D$5:$H$5,))</f>
        <v>Moderado</v>
      </c>
      <c r="AI414" s="496" t="s">
        <v>77</v>
      </c>
      <c r="AJ414" s="130"/>
      <c r="AK414" s="130"/>
      <c r="AL414" s="156"/>
      <c r="AM414" s="130"/>
      <c r="AN414" s="130"/>
      <c r="AO414" s="157"/>
      <c r="AP414" s="496" t="s">
        <v>710</v>
      </c>
      <c r="AQ414" s="539" t="s">
        <v>113</v>
      </c>
      <c r="FM414" s="89"/>
      <c r="FQ414" s="80"/>
    </row>
    <row r="415" spans="1:173" s="78" customFormat="1" ht="13.5" customHeight="1" x14ac:dyDescent="0.25">
      <c r="A415" s="447"/>
      <c r="B415" s="126" t="s">
        <v>699</v>
      </c>
      <c r="C415" s="325"/>
      <c r="D415" s="441"/>
      <c r="E415" s="441"/>
      <c r="F415" s="441"/>
      <c r="G415" s="438"/>
      <c r="H415" s="200"/>
      <c r="I415" s="453"/>
      <c r="J415" s="450"/>
      <c r="K415" s="497"/>
      <c r="L415" s="497"/>
      <c r="M415" s="497"/>
      <c r="N415" s="497"/>
      <c r="O415" s="510"/>
      <c r="P415" s="497"/>
      <c r="Q415" s="130"/>
      <c r="R415" s="130"/>
      <c r="S415" s="178"/>
      <c r="T415" s="178"/>
      <c r="U415" s="178"/>
      <c r="V415" s="178" t="str">
        <f t="shared" ref="V415:V419" si="197">IF(AND(T415=$FS$2,U415=$FT$2),"50%",IF(AND(T415=$FS$2,U415=$FT$3),"40%",IF(AND(T415=$FS$3,U415=$FT$2),"40%",IF(AND(T415=$FS$3,U415=$FT$3),"30%",IF(AND(T415=$FS$4,U415=$FT$2),"35%",IF(AND(T415=$FS$4,U415=$FT$3),"25%",""))))))</f>
        <v/>
      </c>
      <c r="W415" s="178"/>
      <c r="X415" s="178"/>
      <c r="Y415" s="178"/>
      <c r="Z415" s="131" t="str">
        <f>IFERROR(IF(AND(S414="Probabilidad",S415="Probabilidad"),(Z414-(+Z414*V415)),IF(S415="Probabilidad",(L414-(+L414*V415)),IF(S415="Impacto",Z414,""))),"")</f>
        <v/>
      </c>
      <c r="AA415" s="219"/>
      <c r="AB415" s="219"/>
      <c r="AC415" s="497"/>
      <c r="AD415" s="182" t="str">
        <f>IFERROR(IF(AND(S414="Impacto",V415="Impacto"),(AD414-(+AD414*V415)),IF(S415="Impacto",(O414-(+O414*V415)),IF(S415="Probabilidad",AD414,""))),"")</f>
        <v/>
      </c>
      <c r="AE415" s="219"/>
      <c r="AF415" s="219"/>
      <c r="AG415" s="497"/>
      <c r="AH415" s="497"/>
      <c r="AI415" s="497"/>
      <c r="AJ415" s="130"/>
      <c r="AK415" s="130"/>
      <c r="AL415" s="156"/>
      <c r="AM415" s="130"/>
      <c r="AN415" s="130"/>
      <c r="AO415" s="157"/>
      <c r="AP415" s="497"/>
      <c r="AQ415" s="537"/>
      <c r="FM415" s="89"/>
    </row>
    <row r="416" spans="1:173" s="78" customFormat="1" ht="13.5" customHeight="1" x14ac:dyDescent="0.25">
      <c r="A416" s="447"/>
      <c r="B416" s="126" t="s">
        <v>699</v>
      </c>
      <c r="C416" s="325"/>
      <c r="D416" s="441"/>
      <c r="E416" s="441"/>
      <c r="F416" s="441"/>
      <c r="G416" s="438"/>
      <c r="H416" s="200"/>
      <c r="I416" s="453"/>
      <c r="J416" s="450"/>
      <c r="K416" s="497"/>
      <c r="L416" s="497"/>
      <c r="M416" s="497"/>
      <c r="N416" s="497"/>
      <c r="O416" s="510"/>
      <c r="P416" s="497"/>
      <c r="Q416" s="130"/>
      <c r="R416" s="130"/>
      <c r="S416" s="178"/>
      <c r="T416" s="178"/>
      <c r="U416" s="178"/>
      <c r="V416" s="178" t="str">
        <f t="shared" si="197"/>
        <v/>
      </c>
      <c r="W416" s="178"/>
      <c r="X416" s="178"/>
      <c r="Y416" s="178"/>
      <c r="Z416" s="131" t="str">
        <f>IFERROR(IF(AND(S415="Probabilidad",S416="Probabilidad"),(Z415-(+Z415*V416)),IF(S416="Probabilidad",(L415-(+L415*V416)),IF(S416="Impacto",Z415,""))),"")</f>
        <v/>
      </c>
      <c r="AA416" s="219"/>
      <c r="AB416" s="219"/>
      <c r="AC416" s="497"/>
      <c r="AD416" s="182" t="str">
        <f t="shared" ref="AD416:AD419" si="198">IFERROR(IF(AND(S415="Impacto",V416="Impacto"),(AD415-(+AD415*V416)),IF(S416="Impacto",(O415-(+O415*V416)),IF(S416="Probabilidad",AD415,""))),"")</f>
        <v/>
      </c>
      <c r="AE416" s="219"/>
      <c r="AF416" s="219"/>
      <c r="AG416" s="497"/>
      <c r="AH416" s="497"/>
      <c r="AI416" s="497"/>
      <c r="AJ416" s="130"/>
      <c r="AK416" s="130"/>
      <c r="AL416" s="156"/>
      <c r="AM416" s="132"/>
      <c r="AN416" s="132"/>
      <c r="AO416" s="132"/>
      <c r="AP416" s="497"/>
      <c r="AQ416" s="537"/>
      <c r="FM416" s="89"/>
    </row>
    <row r="417" spans="1:181" s="78" customFormat="1" ht="13.5" customHeight="1" x14ac:dyDescent="0.25">
      <c r="A417" s="447"/>
      <c r="B417" s="126" t="s">
        <v>699</v>
      </c>
      <c r="C417" s="325"/>
      <c r="D417" s="441"/>
      <c r="E417" s="441"/>
      <c r="F417" s="441"/>
      <c r="G417" s="438"/>
      <c r="H417" s="200"/>
      <c r="I417" s="453"/>
      <c r="J417" s="450"/>
      <c r="K417" s="497"/>
      <c r="L417" s="497"/>
      <c r="M417" s="497"/>
      <c r="N417" s="497"/>
      <c r="O417" s="510"/>
      <c r="P417" s="497"/>
      <c r="Q417" s="130"/>
      <c r="R417" s="130"/>
      <c r="S417" s="178"/>
      <c r="T417" s="178"/>
      <c r="U417" s="178"/>
      <c r="V417" s="178" t="str">
        <f t="shared" si="197"/>
        <v/>
      </c>
      <c r="W417" s="178"/>
      <c r="X417" s="178"/>
      <c r="Y417" s="178"/>
      <c r="Z417" s="131" t="str">
        <f>IFERROR(IF(AND(S416="Probabilidad",S417="Probabilidad"),(Z416-(+Z416*V417)),IF(S417="Probabilidad",(L416-(+L416*V417)),IF(S417="Impacto",Z416,""))),"")</f>
        <v/>
      </c>
      <c r="AA417" s="219"/>
      <c r="AB417" s="219"/>
      <c r="AC417" s="497"/>
      <c r="AD417" s="182" t="str">
        <f t="shared" si="198"/>
        <v/>
      </c>
      <c r="AE417" s="219"/>
      <c r="AF417" s="219"/>
      <c r="AG417" s="497"/>
      <c r="AH417" s="497"/>
      <c r="AI417" s="497"/>
      <c r="AJ417" s="130"/>
      <c r="AK417" s="130"/>
      <c r="AL417" s="156"/>
      <c r="AM417" s="130"/>
      <c r="AN417" s="130"/>
      <c r="AO417" s="157"/>
      <c r="AP417" s="497"/>
      <c r="AQ417" s="537"/>
      <c r="FM417" s="89"/>
    </row>
    <row r="418" spans="1:181" s="78" customFormat="1" ht="13.5" customHeight="1" x14ac:dyDescent="0.25">
      <c r="A418" s="447"/>
      <c r="B418" s="126" t="s">
        <v>699</v>
      </c>
      <c r="C418" s="325"/>
      <c r="D418" s="441"/>
      <c r="E418" s="441"/>
      <c r="F418" s="441"/>
      <c r="G418" s="438"/>
      <c r="H418" s="200"/>
      <c r="I418" s="453"/>
      <c r="J418" s="450"/>
      <c r="K418" s="497"/>
      <c r="L418" s="497"/>
      <c r="M418" s="497"/>
      <c r="N418" s="497"/>
      <c r="O418" s="510"/>
      <c r="P418" s="497"/>
      <c r="Q418" s="130"/>
      <c r="R418" s="130"/>
      <c r="S418" s="178"/>
      <c r="T418" s="178"/>
      <c r="U418" s="178"/>
      <c r="V418" s="178" t="str">
        <f t="shared" si="197"/>
        <v/>
      </c>
      <c r="W418" s="178"/>
      <c r="X418" s="178"/>
      <c r="Y418" s="178"/>
      <c r="Z418" s="131" t="str">
        <f>IFERROR(IF(AND(S417="Probabilidad",S418="Probabilidad"),(Z417-(+Z417*V418)),IF(S418="Probabilidad",(L417-(+L417*V418)),IF(S418="Impacto",Z417,""))),"")</f>
        <v/>
      </c>
      <c r="AA418" s="219"/>
      <c r="AB418" s="219"/>
      <c r="AC418" s="497"/>
      <c r="AD418" s="182" t="str">
        <f t="shared" si="198"/>
        <v/>
      </c>
      <c r="AE418" s="219"/>
      <c r="AF418" s="219"/>
      <c r="AG418" s="497"/>
      <c r="AH418" s="497"/>
      <c r="AI418" s="497"/>
      <c r="AJ418" s="130"/>
      <c r="AK418" s="130"/>
      <c r="AL418" s="156"/>
      <c r="AM418" s="130"/>
      <c r="AN418" s="130"/>
      <c r="AO418" s="157"/>
      <c r="AP418" s="497"/>
      <c r="AQ418" s="537"/>
      <c r="FM418" s="89"/>
    </row>
    <row r="419" spans="1:181" s="78" customFormat="1" ht="13.5" customHeight="1" x14ac:dyDescent="0.25">
      <c r="A419" s="460"/>
      <c r="B419" s="126" t="s">
        <v>699</v>
      </c>
      <c r="C419" s="459"/>
      <c r="D419" s="458"/>
      <c r="E419" s="458"/>
      <c r="F419" s="458"/>
      <c r="G419" s="457"/>
      <c r="H419" s="201"/>
      <c r="I419" s="456"/>
      <c r="J419" s="455"/>
      <c r="K419" s="498"/>
      <c r="L419" s="498"/>
      <c r="M419" s="498"/>
      <c r="N419" s="498"/>
      <c r="O419" s="511"/>
      <c r="P419" s="498"/>
      <c r="Q419" s="130"/>
      <c r="R419" s="130"/>
      <c r="S419" s="178"/>
      <c r="T419" s="178"/>
      <c r="U419" s="178"/>
      <c r="V419" s="178" t="str">
        <f t="shared" si="197"/>
        <v/>
      </c>
      <c r="W419" s="178"/>
      <c r="X419" s="178"/>
      <c r="Y419" s="178"/>
      <c r="Z419" s="131" t="str">
        <f>IFERROR(IF(AND(S418="Probabilidad",S419="Probabilidad"),(Z418-(+Z418*V419)),IF(S419="Probabilidad",(L418-(+L418*V419)),IF(S419="Impacto",Z418,""))),"")</f>
        <v/>
      </c>
      <c r="AA419" s="220"/>
      <c r="AB419" s="220"/>
      <c r="AC419" s="498"/>
      <c r="AD419" s="182" t="str">
        <f t="shared" si="198"/>
        <v/>
      </c>
      <c r="AE419" s="220"/>
      <c r="AF419" s="220"/>
      <c r="AG419" s="498"/>
      <c r="AH419" s="498"/>
      <c r="AI419" s="498"/>
      <c r="AJ419" s="130"/>
      <c r="AK419" s="130"/>
      <c r="AL419" s="156"/>
      <c r="AM419" s="130"/>
      <c r="AN419" s="130"/>
      <c r="AO419" s="157"/>
      <c r="AP419" s="498"/>
      <c r="AQ419" s="538"/>
      <c r="FM419" s="89"/>
      <c r="FQ419" s="79"/>
    </row>
    <row r="420" spans="1:181" s="78" customFormat="1" ht="13.5" customHeight="1" x14ac:dyDescent="0.25">
      <c r="A420" s="446">
        <v>77</v>
      </c>
      <c r="B420" s="126" t="s">
        <v>699</v>
      </c>
      <c r="C420" s="444" t="s">
        <v>248</v>
      </c>
      <c r="D420" s="440" t="s">
        <v>711</v>
      </c>
      <c r="E420" s="440" t="s">
        <v>712</v>
      </c>
      <c r="F420" s="440" t="s">
        <v>713</v>
      </c>
      <c r="G420" s="437" t="s">
        <v>265</v>
      </c>
      <c r="H420" s="199" t="s">
        <v>255</v>
      </c>
      <c r="I420" s="452" t="s">
        <v>714</v>
      </c>
      <c r="J420" s="449">
        <v>40</v>
      </c>
      <c r="K420" s="496" t="str">
        <f>IF(AND(J420&lt;=2),"Muy Baja",IF(AND(J420&gt;=3,J420&lt;=23),"Baja",IF(AND(J420&gt;=24,J420&lt;=499),"Media",IF(AND(J420&gt;=500,J420&lt;=4999),"Alta",IF(AND(J420&gt;=5000),"Muy Alta",FALSE)))))</f>
        <v>Media</v>
      </c>
      <c r="L420" s="496" t="str">
        <f>IF(AND(J420&lt;=2),"20%",IF(AND(J420&gt;=3,J420&lt;=23),"40%",IF(AND(J420&gt;=24,J420&lt;=499),"60%",IF(AND(J420&gt;=500,J420&lt;=4999),"80%",IF(AND(J420&gt;=5000),"100%",FALSE)))))</f>
        <v>60%</v>
      </c>
      <c r="M420" s="496" t="s">
        <v>160</v>
      </c>
      <c r="N420" s="496" t="str">
        <f>IF(AND(M420=$FQ$4),"Leve",IF(AND(M420=$FQ$5),"Menor",IF(AND(M420=$FQ$6),"Moderado",IF(AND(M420=$FQ$7),"mayor",IF(AND(M420=$FQ$8),"Catastrófico",IF(AND(M420=$FQ$10),"Leve",IF(AND(M420=$FQ$11),"Menor",IF(AND(M420=$FQ$12),"Moderado",IF(AND(M420=$FQ$13),"Mayor",IF(AND(M420=$FQ$14),"Catastrófico",FALSE))))))))))</f>
        <v>Menor</v>
      </c>
      <c r="O420" s="509" t="str">
        <f>IF(AND(N420="Leve"),"20%",IF(AND(N420="Menor"),"40%",IF(AND(N420="Moderado"),"60%",IF(AND(N420="Mayor"),"80%",IF(AND(N420="Catastrófico"),"100%","")))))</f>
        <v>40%</v>
      </c>
      <c r="P420" s="496" t="str">
        <f>INDEX('[12]MATRIZ RIESGO'!$D$6:$H$10,MATCH(K420,'[12]MATRIZ RIESGO'!$C$6:$C$10,),MATCH(N420,'[12]MATRIZ RIESGO'!$D$5:$H$5,))</f>
        <v>Moderado</v>
      </c>
      <c r="Q420" s="130">
        <v>1</v>
      </c>
      <c r="R420" s="130" t="s">
        <v>715</v>
      </c>
      <c r="S420" s="178" t="s">
        <v>237</v>
      </c>
      <c r="T420" s="178" t="s">
        <v>152</v>
      </c>
      <c r="U420" s="178" t="s">
        <v>153</v>
      </c>
      <c r="V420" s="178" t="str">
        <f>IF(AND(T420=$FS$2,U420=$FT$2),"50%",IF(AND(T420=$FS$2,U420=$FT$3),"40%",IF(AND(T420=$FS$3,U420=$FT$2),"40%",IF(AND(T420=$FS$3,U420=$FT$3),"30%",IF(AND(T420=$FS$4,U420=$FT$2),"35%",IF(AND(T420=$FS$4,U420=$FT$3),"25%",""))))))</f>
        <v>40%</v>
      </c>
      <c r="W420" s="178" t="s">
        <v>161</v>
      </c>
      <c r="X420" s="178" t="s">
        <v>164</v>
      </c>
      <c r="Y420" s="178" t="s">
        <v>156</v>
      </c>
      <c r="Z420" s="131">
        <f>IFERROR(IF(S420="Probabilidad",(L420-(+L420*V420)),IF(S420="Impacto",L420,"")),"")</f>
        <v>0.36</v>
      </c>
      <c r="AA420" s="218">
        <f>LOOKUP(2,1/(Z420:Z425&lt;&gt;""),Z420:Z425)</f>
        <v>0.36</v>
      </c>
      <c r="AB420" s="218">
        <f t="shared" ref="AB420" si="199">AA420*1</f>
        <v>0.36</v>
      </c>
      <c r="AC420" s="496" t="str">
        <f t="shared" ref="AC420" si="200">IF(AND(AB420&lt;=20%),"Muy Baja",IF(AND(AB420&gt;=21%,AB420&lt;=40%),"Baja",IF(AND(AB420&gt;=41%,AB420&lt;=60%),"Media",IF(AND(AB420&gt;=61%,AB420&lt;=80%),"Alta",IF(AND(AB420&gt;=81%,AB420&gt;=100%),"Muy Alta",FALSE)))))</f>
        <v>Baja</v>
      </c>
      <c r="AD420" s="182" t="str">
        <f>IFERROR(IF(S420="Impacto",(O420-(+O420*V420)),IF(S420="Probabilidad",O420,"")),"")</f>
        <v>40%</v>
      </c>
      <c r="AE420" s="218" t="str">
        <f>LOOKUP(2,1/(AD420:AD425&lt;&gt;""),AD420:AD425)</f>
        <v>40%</v>
      </c>
      <c r="AF420" s="218">
        <f>AE420*1</f>
        <v>0.4</v>
      </c>
      <c r="AG420" s="496" t="str">
        <f t="shared" ref="AG420" si="201">CHOOSE((AF420&gt;=0%)+(AF420&gt;=21%)+(AF420&gt;=41%)+(AF420&gt;=61%)+(AF420&gt;=81%),"Leve","Menor","Moderado","Mayor","Catastrófico")</f>
        <v>Menor</v>
      </c>
      <c r="AH420" s="496" t="str">
        <f>INDEX('[12]MATRIZ RIESGO'!$D$6:$H$10,MATCH(AC420,'[12]MATRIZ RIESGO'!$C$6:$C$10,),MATCH(AG420,'[12]MATRIZ RIESGO'!$D$5:$H$5,))</f>
        <v>Moderado</v>
      </c>
      <c r="AI420" s="496" t="s">
        <v>77</v>
      </c>
      <c r="AJ420" s="130"/>
      <c r="AK420" s="130"/>
      <c r="AL420" s="156"/>
      <c r="AM420" s="130"/>
      <c r="AN420" s="130"/>
      <c r="AO420" s="157"/>
      <c r="AP420" s="496" t="s">
        <v>716</v>
      </c>
      <c r="AQ420" s="539" t="s">
        <v>113</v>
      </c>
      <c r="FM420" s="89"/>
      <c r="FQ420" s="80"/>
    </row>
    <row r="421" spans="1:181" s="78" customFormat="1" ht="13.5" customHeight="1" x14ac:dyDescent="0.25">
      <c r="A421" s="447"/>
      <c r="B421" s="126" t="s">
        <v>699</v>
      </c>
      <c r="C421" s="325"/>
      <c r="D421" s="441"/>
      <c r="E421" s="441"/>
      <c r="F421" s="441"/>
      <c r="G421" s="438"/>
      <c r="H421" s="200"/>
      <c r="I421" s="453"/>
      <c r="J421" s="450"/>
      <c r="K421" s="497"/>
      <c r="L421" s="497"/>
      <c r="M421" s="497"/>
      <c r="N421" s="497"/>
      <c r="O421" s="510"/>
      <c r="P421" s="497"/>
      <c r="Q421" s="130"/>
      <c r="R421" s="130"/>
      <c r="S421" s="178"/>
      <c r="T421" s="178"/>
      <c r="U421" s="178"/>
      <c r="V421" s="178" t="str">
        <f t="shared" ref="V421:V425" si="202">IF(AND(T421=$FS$2,U421=$FT$2),"50%",IF(AND(T421=$FS$2,U421=$FT$3),"40%",IF(AND(T421=$FS$3,U421=$FT$2),"40%",IF(AND(T421=$FS$3,U421=$FT$3),"30%",IF(AND(T421=$FS$4,U421=$FT$2),"35%",IF(AND(T421=$FS$4,U421=$FT$3),"25%",""))))))</f>
        <v/>
      </c>
      <c r="W421" s="178"/>
      <c r="X421" s="178"/>
      <c r="Y421" s="178"/>
      <c r="Z421" s="131" t="str">
        <f>IFERROR(IF(AND(S420="Probabilidad",S421="Probabilidad"),(Z420-(+Z420*V421)),IF(S421="Probabilidad",(L420-(+L420*V421)),IF(S421="Impacto",Z420,""))),"")</f>
        <v/>
      </c>
      <c r="AA421" s="219"/>
      <c r="AB421" s="219"/>
      <c r="AC421" s="497"/>
      <c r="AD421" s="182" t="str">
        <f>IFERROR(IF(AND(S420="Impacto",V421="Impacto"),(AD420-(+AD420*V421)),IF(S421="Impacto",(O420-(+O420*V421)),IF(S421="Probabilidad",AD420,""))),"")</f>
        <v/>
      </c>
      <c r="AE421" s="219"/>
      <c r="AF421" s="219"/>
      <c r="AG421" s="497"/>
      <c r="AH421" s="497"/>
      <c r="AI421" s="497"/>
      <c r="AJ421" s="130"/>
      <c r="AK421" s="130"/>
      <c r="AL421" s="156"/>
      <c r="AM421" s="130"/>
      <c r="AN421" s="130"/>
      <c r="AO421" s="157"/>
      <c r="AP421" s="497"/>
      <c r="AQ421" s="537"/>
      <c r="FM421" s="89"/>
    </row>
    <row r="422" spans="1:181" s="78" customFormat="1" ht="13.5" customHeight="1" x14ac:dyDescent="0.25">
      <c r="A422" s="447"/>
      <c r="B422" s="126" t="s">
        <v>699</v>
      </c>
      <c r="C422" s="325"/>
      <c r="D422" s="441"/>
      <c r="E422" s="441"/>
      <c r="F422" s="441"/>
      <c r="G422" s="438"/>
      <c r="H422" s="200"/>
      <c r="I422" s="453"/>
      <c r="J422" s="450"/>
      <c r="K422" s="497"/>
      <c r="L422" s="497"/>
      <c r="M422" s="497"/>
      <c r="N422" s="497"/>
      <c r="O422" s="510"/>
      <c r="P422" s="497"/>
      <c r="Q422" s="130"/>
      <c r="R422" s="130"/>
      <c r="S422" s="178"/>
      <c r="T422" s="178"/>
      <c r="U422" s="178"/>
      <c r="V422" s="178" t="str">
        <f t="shared" si="202"/>
        <v/>
      </c>
      <c r="W422" s="178"/>
      <c r="X422" s="178"/>
      <c r="Y422" s="178"/>
      <c r="Z422" s="131" t="str">
        <f>IFERROR(IF(AND(S421="Probabilidad",S422="Probabilidad"),(Z421-(+Z421*V422)),IF(S422="Probabilidad",(L421-(+L421*V422)),IF(S422="Impacto",Z421,""))),"")</f>
        <v/>
      </c>
      <c r="AA422" s="219"/>
      <c r="AB422" s="219"/>
      <c r="AC422" s="497"/>
      <c r="AD422" s="182" t="str">
        <f t="shared" ref="AD422:AD425" si="203">IFERROR(IF(AND(S421="Impacto",V422="Impacto"),(AD421-(+AD421*V422)),IF(S422="Impacto",(O421-(+O421*V422)),IF(S422="Probabilidad",AD421,""))),"")</f>
        <v/>
      </c>
      <c r="AE422" s="219"/>
      <c r="AF422" s="219"/>
      <c r="AG422" s="497"/>
      <c r="AH422" s="497"/>
      <c r="AI422" s="497"/>
      <c r="AJ422" s="130"/>
      <c r="AK422" s="130"/>
      <c r="AL422" s="156"/>
      <c r="AM422" s="130"/>
      <c r="AN422" s="130"/>
      <c r="AO422" s="157"/>
      <c r="AP422" s="497"/>
      <c r="AQ422" s="537"/>
      <c r="FM422" s="89"/>
    </row>
    <row r="423" spans="1:181" s="78" customFormat="1" ht="13.5" customHeight="1" x14ac:dyDescent="0.25">
      <c r="A423" s="447"/>
      <c r="B423" s="126" t="s">
        <v>699</v>
      </c>
      <c r="C423" s="325"/>
      <c r="D423" s="441"/>
      <c r="E423" s="441"/>
      <c r="F423" s="441"/>
      <c r="G423" s="438"/>
      <c r="H423" s="200"/>
      <c r="I423" s="453"/>
      <c r="J423" s="450"/>
      <c r="K423" s="497"/>
      <c r="L423" s="497"/>
      <c r="M423" s="497"/>
      <c r="N423" s="497"/>
      <c r="O423" s="510"/>
      <c r="P423" s="497"/>
      <c r="Q423" s="130"/>
      <c r="R423" s="130"/>
      <c r="S423" s="178"/>
      <c r="T423" s="178"/>
      <c r="U423" s="178"/>
      <c r="V423" s="178" t="str">
        <f t="shared" si="202"/>
        <v/>
      </c>
      <c r="W423" s="178"/>
      <c r="X423" s="178"/>
      <c r="Y423" s="178"/>
      <c r="Z423" s="131" t="str">
        <f>IFERROR(IF(AND(S422="Probabilidad",S423="Probabilidad"),(Z422-(+Z422*V423)),IF(S423="Probabilidad",(L422-(+L422*V423)),IF(S423="Impacto",Z422,""))),"")</f>
        <v/>
      </c>
      <c r="AA423" s="219"/>
      <c r="AB423" s="219"/>
      <c r="AC423" s="497"/>
      <c r="AD423" s="182" t="str">
        <f t="shared" si="203"/>
        <v/>
      </c>
      <c r="AE423" s="219"/>
      <c r="AF423" s="219"/>
      <c r="AG423" s="497"/>
      <c r="AH423" s="497"/>
      <c r="AI423" s="497"/>
      <c r="AJ423" s="130"/>
      <c r="AK423" s="130"/>
      <c r="AL423" s="156"/>
      <c r="AM423" s="130"/>
      <c r="AN423" s="130"/>
      <c r="AO423" s="157"/>
      <c r="AP423" s="497"/>
      <c r="AQ423" s="537"/>
      <c r="FM423" s="89"/>
    </row>
    <row r="424" spans="1:181" s="78" customFormat="1" ht="13.5" customHeight="1" x14ac:dyDescent="0.25">
      <c r="A424" s="447"/>
      <c r="B424" s="126" t="s">
        <v>699</v>
      </c>
      <c r="C424" s="325"/>
      <c r="D424" s="441"/>
      <c r="E424" s="441"/>
      <c r="F424" s="441"/>
      <c r="G424" s="438"/>
      <c r="H424" s="200"/>
      <c r="I424" s="453"/>
      <c r="J424" s="450"/>
      <c r="K424" s="497"/>
      <c r="L424" s="497"/>
      <c r="M424" s="497"/>
      <c r="N424" s="497"/>
      <c r="O424" s="510"/>
      <c r="P424" s="497"/>
      <c r="Q424" s="130"/>
      <c r="R424" s="130"/>
      <c r="S424" s="178"/>
      <c r="T424" s="178"/>
      <c r="U424" s="178"/>
      <c r="V424" s="178" t="str">
        <f t="shared" si="202"/>
        <v/>
      </c>
      <c r="W424" s="178"/>
      <c r="X424" s="178"/>
      <c r="Y424" s="178"/>
      <c r="Z424" s="131" t="str">
        <f>IFERROR(IF(AND(S423="Probabilidad",S424="Probabilidad"),(Z423-(+Z423*V424)),IF(S424="Probabilidad",(L423-(+L423*V424)),IF(S424="Impacto",Z423,""))),"")</f>
        <v/>
      </c>
      <c r="AA424" s="219"/>
      <c r="AB424" s="219"/>
      <c r="AC424" s="497"/>
      <c r="AD424" s="182" t="str">
        <f t="shared" si="203"/>
        <v/>
      </c>
      <c r="AE424" s="219"/>
      <c r="AF424" s="219"/>
      <c r="AG424" s="497"/>
      <c r="AH424" s="497"/>
      <c r="AI424" s="497"/>
      <c r="AJ424" s="130"/>
      <c r="AK424" s="130"/>
      <c r="AL424" s="156"/>
      <c r="AM424" s="130"/>
      <c r="AN424" s="130"/>
      <c r="AO424" s="157"/>
      <c r="AP424" s="497"/>
      <c r="AQ424" s="537"/>
      <c r="FM424" s="89"/>
    </row>
    <row r="425" spans="1:181" s="78" customFormat="1" ht="13.5" customHeight="1" thickBot="1" x14ac:dyDescent="0.3">
      <c r="A425" s="448"/>
      <c r="B425" s="126" t="s">
        <v>699</v>
      </c>
      <c r="C425" s="445"/>
      <c r="D425" s="443"/>
      <c r="E425" s="443"/>
      <c r="F425" s="442"/>
      <c r="G425" s="439"/>
      <c r="H425" s="201"/>
      <c r="I425" s="454"/>
      <c r="J425" s="451"/>
      <c r="K425" s="498"/>
      <c r="L425" s="498"/>
      <c r="M425" s="498"/>
      <c r="N425" s="498"/>
      <c r="O425" s="511"/>
      <c r="P425" s="498"/>
      <c r="Q425" s="130"/>
      <c r="R425" s="130"/>
      <c r="S425" s="178"/>
      <c r="T425" s="178"/>
      <c r="U425" s="178"/>
      <c r="V425" s="178" t="str">
        <f t="shared" si="202"/>
        <v/>
      </c>
      <c r="W425" s="178"/>
      <c r="X425" s="178"/>
      <c r="Y425" s="178"/>
      <c r="Z425" s="131" t="str">
        <f>IFERROR(IF(AND(S424="Probabilidad",S425="Probabilidad"),(Z424-(+Z424*V425)),IF(S425="Probabilidad",(L424-(+L424*V425)),IF(S425="Impacto",Z424,""))),"")</f>
        <v/>
      </c>
      <c r="AA425" s="220"/>
      <c r="AB425" s="220"/>
      <c r="AC425" s="498"/>
      <c r="AD425" s="182" t="str">
        <f t="shared" si="203"/>
        <v/>
      </c>
      <c r="AE425" s="220"/>
      <c r="AF425" s="220"/>
      <c r="AG425" s="498"/>
      <c r="AH425" s="498"/>
      <c r="AI425" s="498"/>
      <c r="AJ425" s="130"/>
      <c r="AK425" s="130"/>
      <c r="AL425" s="156"/>
      <c r="AM425" s="130"/>
      <c r="AN425" s="130"/>
      <c r="AO425" s="157"/>
      <c r="AP425" s="498"/>
      <c r="AQ425" s="538"/>
      <c r="FM425" s="89"/>
      <c r="FQ425" s="79"/>
    </row>
    <row r="426" spans="1:181" s="78" customFormat="1" ht="14.25" customHeight="1" x14ac:dyDescent="0.25">
      <c r="A426" s="199">
        <v>78</v>
      </c>
      <c r="B426" s="128" t="s">
        <v>112</v>
      </c>
      <c r="C426" s="199" t="s">
        <v>260</v>
      </c>
      <c r="D426" s="199" t="s">
        <v>534</v>
      </c>
      <c r="E426" s="199" t="s">
        <v>535</v>
      </c>
      <c r="F426" s="464" t="s">
        <v>536</v>
      </c>
      <c r="G426" s="199" t="s">
        <v>149</v>
      </c>
      <c r="H426" s="199" t="s">
        <v>267</v>
      </c>
      <c r="I426" s="209" t="s">
        <v>83</v>
      </c>
      <c r="J426" s="209">
        <v>1</v>
      </c>
      <c r="K426" s="496" t="str">
        <f>IF(AND(J426&lt;=2),"Muy Baja",IF(AND(J426&gt;=3,J426&lt;=23),"Baja",IF(AND(J426&gt;=24,J426&lt;=499),"Media",IF(AND(J426&gt;=500,J426&lt;=4999),"Alta",IF(AND(J426&gt;=5000),"Muy Alta",FALSE)))))</f>
        <v>Muy Baja</v>
      </c>
      <c r="L426" s="496" t="str">
        <f>IF(AND(J426&lt;=2),"20%",IF(AND(J426&gt;=3,J426&lt;=23),"40%",IF(AND(J426&gt;=24,J426&lt;=499),"60%",IF(AND(J426&gt;=500,J426&lt;=4999),"80%",IF(AND(J426&gt;=5000),"100%",FALSE)))))</f>
        <v>20%</v>
      </c>
      <c r="M426" s="496" t="s">
        <v>186</v>
      </c>
      <c r="N426" s="496" t="str">
        <f>IF(AND(M426=$FQ$4),"Leve",IF(AND(M426=$FQ$5),"Menor",IF(AND(M426=$FQ$6),"Moderado",IF(AND(M426=$FQ$7),"mayor",IF(AND(M426=$FQ$8),"Catastrófico",IF(AND(M426=$FQ$10),"Leve",IF(AND(M426=$FQ$11),"Menor",IF(AND(M426=$FQ$12),"Moderado",IF(AND(M426=$FQ$13),"Mayor",IF(AND(M426=$FQ$14),"Catastrófico",FALSE))))))))))</f>
        <v>Moderado</v>
      </c>
      <c r="O426" s="509" t="str">
        <f>IF(AND(N426="Leve"),"20%",IF(AND(N426="Menor"),"40%",IF(AND(N426="Moderado"),"60%",IF(AND(N426="Mayor"),"80%",IF(AND(N426="Catastrófico"),"100%","")))))</f>
        <v>60%</v>
      </c>
      <c r="P426" s="496" t="str">
        <f>INDEX('[6]MATRIZ RIESGO'!$D$6:$H$10,MATCH(K426,'[6]MATRIZ RIESGO'!$C$6:$C$10,),MATCH(N426,'[6]MATRIZ RIESGO'!$D$5:$H$5,))</f>
        <v>Moderado</v>
      </c>
      <c r="Q426" s="130">
        <v>1</v>
      </c>
      <c r="R426" s="130" t="s">
        <v>537</v>
      </c>
      <c r="S426" s="178" t="s">
        <v>237</v>
      </c>
      <c r="T426" s="178" t="s">
        <v>152</v>
      </c>
      <c r="U426" s="178" t="s">
        <v>153</v>
      </c>
      <c r="V426" s="178" t="str">
        <f>IF(AND(T426=$FS$2,U426=$FT$2),"50%",IF(AND(T426=$FS$2,U426=$FT$3),"40%",IF(AND(T426=$FS$3,U426=$FT$2),"40%",IF(AND(T426=$FS$3,U426=$FT$3),"30%",IF(AND(T426=$FS$4,U426=$FT$2),"35%",IF(AND(T426=$FS$4,U426=$FT$3),"25%",""))))))</f>
        <v>40%</v>
      </c>
      <c r="W426" s="178" t="s">
        <v>161</v>
      </c>
      <c r="X426" s="178" t="s">
        <v>155</v>
      </c>
      <c r="Y426" s="178" t="s">
        <v>165</v>
      </c>
      <c r="Z426" s="131">
        <f>IFERROR(IF(S426="Probabilidad",(L426-(+L426*V426)),IF(S426="Impacto",L426,"")),"")</f>
        <v>0.12</v>
      </c>
      <c r="AA426" s="218">
        <f>LOOKUP(2,1/(Z426:Z431&lt;&gt;""),Z426:Z431)</f>
        <v>0.12</v>
      </c>
      <c r="AB426" s="218">
        <f t="shared" ref="AB426" si="204">AA426*1</f>
        <v>0.12</v>
      </c>
      <c r="AC426" s="496" t="str">
        <f t="shared" ref="AC426" si="205">IF(AND(AB426&lt;=20%),"Muy Baja",IF(AND(AB426&gt;=21%,AB426&lt;=40%),"Baja",IF(AND(AB426&gt;=41%,AB426&lt;=60%),"Media",IF(AND(AB426&gt;=61%,AB426&lt;=80%),"Alta",IF(AND(AB426&gt;=81%,AB426&gt;=100%),"Muy Alta",FALSE)))))</f>
        <v>Muy Baja</v>
      </c>
      <c r="AD426" s="182" t="str">
        <f>IFERROR(IF(S426="Impacto",(O426-(+O426*V426)),IF(S426="Probabilidad",O426,"")),"")</f>
        <v>60%</v>
      </c>
      <c r="AE426" s="218" t="str">
        <f>LOOKUP(2,1/(AD426:AD431&lt;&gt;""),AD426:AD431)</f>
        <v>60%</v>
      </c>
      <c r="AF426" s="218">
        <f>AE426*1</f>
        <v>0.6</v>
      </c>
      <c r="AG426" s="496" t="str">
        <f t="shared" ref="AG426" si="206">CHOOSE((AF426&gt;=0%)+(AF426&gt;=21%)+(AF426&gt;=41%)+(AF426&gt;=61%)+(AF426&gt;=81%),"Leve","Menor","Moderado","Mayor","Catastrófico")</f>
        <v>Moderado</v>
      </c>
      <c r="AH426" s="496" t="str">
        <f>INDEX('[6]MATRIZ RIESGO'!$D$6:$H$10,MATCH(AC426,'[6]MATRIZ RIESGO'!$C$6:$C$10,),MATCH(AG426,'[6]MATRIZ RIESGO'!$D$5:$H$5,))</f>
        <v>Moderado</v>
      </c>
      <c r="AI426" s="496" t="s">
        <v>77</v>
      </c>
      <c r="AJ426" s="178"/>
      <c r="AK426" s="178"/>
      <c r="AL426" s="152"/>
      <c r="AM426" s="178"/>
      <c r="AN426" s="178"/>
      <c r="AO426" s="178"/>
      <c r="AP426" s="496"/>
      <c r="AQ426" s="539" t="s">
        <v>113</v>
      </c>
      <c r="FM426" s="89"/>
      <c r="FQ426" s="80"/>
    </row>
    <row r="427" spans="1:181" s="78" customFormat="1" ht="14.25" customHeight="1" x14ac:dyDescent="0.25">
      <c r="A427" s="200"/>
      <c r="B427" s="128" t="s">
        <v>112</v>
      </c>
      <c r="C427" s="200"/>
      <c r="D427" s="200"/>
      <c r="E427" s="200"/>
      <c r="F427" s="465"/>
      <c r="G427" s="200"/>
      <c r="H427" s="200"/>
      <c r="I427" s="210"/>
      <c r="J427" s="210"/>
      <c r="K427" s="497"/>
      <c r="L427" s="497"/>
      <c r="M427" s="497"/>
      <c r="N427" s="497"/>
      <c r="O427" s="510"/>
      <c r="P427" s="497"/>
      <c r="Q427" s="130"/>
      <c r="R427" s="130"/>
      <c r="S427" s="178"/>
      <c r="T427" s="178"/>
      <c r="U427" s="178"/>
      <c r="V427" s="178" t="str">
        <f t="shared" ref="V427:V431" si="207">IF(AND(T427=$FS$2,U427=$FT$2),"50%",IF(AND(T427=$FS$2,U427=$FT$3),"40%",IF(AND(T427=$FS$3,U427=$FT$2),"40%",IF(AND(T427=$FS$3,U427=$FT$3),"30%",IF(AND(T427=$FS$4,U427=$FT$2),"35%",IF(AND(T427=$FS$4,U427=$FT$3),"25%",""))))))</f>
        <v/>
      </c>
      <c r="W427" s="178"/>
      <c r="X427" s="178"/>
      <c r="Y427" s="178"/>
      <c r="Z427" s="131" t="str">
        <f>IFERROR(IF(AND(S426="Probabilidad",S427="Probabilidad"),(Z426-(+Z426*V427)),IF(S427="Probabilidad",(L426-(+L426*V427)),IF(S427="Impacto",Z426,""))),"")</f>
        <v/>
      </c>
      <c r="AA427" s="219"/>
      <c r="AB427" s="219"/>
      <c r="AC427" s="497"/>
      <c r="AD427" s="182" t="str">
        <f>IFERROR(IF(AND(S426="Impacto",V427="Impacto"),(AD426-(+AD426*V427)),IF(S427="Impacto",(O426-(+O426*V427)),IF(S427="Probabilidad",AD426,""))),"")</f>
        <v/>
      </c>
      <c r="AE427" s="219"/>
      <c r="AF427" s="219"/>
      <c r="AG427" s="497"/>
      <c r="AH427" s="497"/>
      <c r="AI427" s="497"/>
      <c r="AJ427" s="178"/>
      <c r="AK427" s="178"/>
      <c r="AL427" s="152"/>
      <c r="AM427" s="178"/>
      <c r="AN427" s="178"/>
      <c r="AO427" s="178"/>
      <c r="AP427" s="497"/>
      <c r="AQ427" s="537"/>
      <c r="FM427" s="89"/>
    </row>
    <row r="428" spans="1:181" s="78" customFormat="1" ht="14.25" customHeight="1" x14ac:dyDescent="0.25">
      <c r="A428" s="200"/>
      <c r="B428" s="128" t="s">
        <v>112</v>
      </c>
      <c r="C428" s="200"/>
      <c r="D428" s="200"/>
      <c r="E428" s="200"/>
      <c r="F428" s="465"/>
      <c r="G428" s="200"/>
      <c r="H428" s="200"/>
      <c r="I428" s="210"/>
      <c r="J428" s="210"/>
      <c r="K428" s="497"/>
      <c r="L428" s="497"/>
      <c r="M428" s="497"/>
      <c r="N428" s="497"/>
      <c r="O428" s="510"/>
      <c r="P428" s="497"/>
      <c r="Q428" s="130"/>
      <c r="R428" s="130"/>
      <c r="S428" s="178"/>
      <c r="T428" s="178"/>
      <c r="U428" s="178"/>
      <c r="V428" s="178" t="str">
        <f t="shared" si="207"/>
        <v/>
      </c>
      <c r="W428" s="178"/>
      <c r="X428" s="178"/>
      <c r="Y428" s="178"/>
      <c r="Z428" s="131" t="str">
        <f>IFERROR(IF(AND(S427="Probabilidad",S428="Probabilidad"),(Z427-(+Z427*V428)),IF(S428="Probabilidad",(L427-(+L427*V428)),IF(S428="Impacto",Z427,""))),"")</f>
        <v/>
      </c>
      <c r="AA428" s="219"/>
      <c r="AB428" s="219"/>
      <c r="AC428" s="497"/>
      <c r="AD428" s="182" t="str">
        <f t="shared" ref="AD428:AD431" si="208">IFERROR(IF(AND(S427="Impacto",V428="Impacto"),(AD427-(+AD427*V428)),IF(S428="Impacto",(O427-(+O427*V428)),IF(S428="Probabilidad",AD427,""))),"")</f>
        <v/>
      </c>
      <c r="AE428" s="219"/>
      <c r="AF428" s="219"/>
      <c r="AG428" s="497"/>
      <c r="AH428" s="497"/>
      <c r="AI428" s="497"/>
      <c r="AJ428" s="178"/>
      <c r="AK428" s="178"/>
      <c r="AL428" s="152"/>
      <c r="AM428" s="178"/>
      <c r="AN428" s="178"/>
      <c r="AO428" s="178"/>
      <c r="AP428" s="497"/>
      <c r="AQ428" s="537"/>
      <c r="FM428" s="89"/>
    </row>
    <row r="429" spans="1:181" s="78" customFormat="1" ht="14.25" customHeight="1" x14ac:dyDescent="0.25">
      <c r="A429" s="200"/>
      <c r="B429" s="128" t="s">
        <v>112</v>
      </c>
      <c r="C429" s="200"/>
      <c r="D429" s="200"/>
      <c r="E429" s="200"/>
      <c r="F429" s="465"/>
      <c r="G429" s="200"/>
      <c r="H429" s="200"/>
      <c r="I429" s="210"/>
      <c r="J429" s="210"/>
      <c r="K429" s="497"/>
      <c r="L429" s="497"/>
      <c r="M429" s="497"/>
      <c r="N429" s="497"/>
      <c r="O429" s="510"/>
      <c r="P429" s="497"/>
      <c r="Q429" s="130"/>
      <c r="R429" s="130"/>
      <c r="S429" s="178"/>
      <c r="T429" s="178"/>
      <c r="U429" s="178"/>
      <c r="V429" s="178" t="str">
        <f t="shared" si="207"/>
        <v/>
      </c>
      <c r="W429" s="178"/>
      <c r="X429" s="178"/>
      <c r="Y429" s="178"/>
      <c r="Z429" s="131" t="str">
        <f>IFERROR(IF(AND(S428="Probabilidad",S429="Probabilidad"),(Z428-(+Z428*V429)),IF(S429="Probabilidad",(L428-(+L428*V429)),IF(S429="Impacto",Z428,""))),"")</f>
        <v/>
      </c>
      <c r="AA429" s="219"/>
      <c r="AB429" s="219"/>
      <c r="AC429" s="497"/>
      <c r="AD429" s="182" t="str">
        <f t="shared" si="208"/>
        <v/>
      </c>
      <c r="AE429" s="219"/>
      <c r="AF429" s="219"/>
      <c r="AG429" s="497"/>
      <c r="AH429" s="497"/>
      <c r="AI429" s="497"/>
      <c r="AJ429" s="178"/>
      <c r="AK429" s="178"/>
      <c r="AL429" s="152"/>
      <c r="AM429" s="178"/>
      <c r="AN429" s="178"/>
      <c r="AO429" s="178"/>
      <c r="AP429" s="497"/>
      <c r="AQ429" s="537"/>
      <c r="FM429" s="89"/>
    </row>
    <row r="430" spans="1:181" s="78" customFormat="1" ht="14.25" customHeight="1" x14ac:dyDescent="0.25">
      <c r="A430" s="200"/>
      <c r="B430" s="128" t="s">
        <v>112</v>
      </c>
      <c r="C430" s="200"/>
      <c r="D430" s="200"/>
      <c r="E430" s="200"/>
      <c r="F430" s="465"/>
      <c r="G430" s="200"/>
      <c r="H430" s="200"/>
      <c r="I430" s="210"/>
      <c r="J430" s="210"/>
      <c r="K430" s="497"/>
      <c r="L430" s="497"/>
      <c r="M430" s="497"/>
      <c r="N430" s="497"/>
      <c r="O430" s="510"/>
      <c r="P430" s="497"/>
      <c r="Q430" s="130"/>
      <c r="R430" s="130"/>
      <c r="S430" s="178"/>
      <c r="T430" s="178"/>
      <c r="U430" s="178"/>
      <c r="V430" s="178" t="str">
        <f t="shared" si="207"/>
        <v/>
      </c>
      <c r="W430" s="178"/>
      <c r="X430" s="178"/>
      <c r="Y430" s="178"/>
      <c r="Z430" s="131" t="str">
        <f>IFERROR(IF(AND(S429="Probabilidad",S430="Probabilidad"),(Z429-(+Z429*V430)),IF(S430="Probabilidad",(L429-(+L429*V430)),IF(S430="Impacto",Z429,""))),"")</f>
        <v/>
      </c>
      <c r="AA430" s="219"/>
      <c r="AB430" s="219"/>
      <c r="AC430" s="497"/>
      <c r="AD430" s="182" t="str">
        <f t="shared" si="208"/>
        <v/>
      </c>
      <c r="AE430" s="219"/>
      <c r="AF430" s="219"/>
      <c r="AG430" s="497"/>
      <c r="AH430" s="497"/>
      <c r="AI430" s="497"/>
      <c r="AJ430" s="178"/>
      <c r="AK430" s="178"/>
      <c r="AL430" s="152"/>
      <c r="AM430" s="178"/>
      <c r="AN430" s="178"/>
      <c r="AO430" s="178"/>
      <c r="AP430" s="497"/>
      <c r="AQ430" s="537"/>
      <c r="FM430" s="89"/>
    </row>
    <row r="431" spans="1:181" s="78" customFormat="1" ht="14.25" customHeight="1" thickBot="1" x14ac:dyDescent="0.25">
      <c r="A431" s="201"/>
      <c r="B431" s="128" t="s">
        <v>112</v>
      </c>
      <c r="C431" s="201"/>
      <c r="D431" s="201"/>
      <c r="E431" s="201"/>
      <c r="F431" s="466"/>
      <c r="G431" s="201"/>
      <c r="H431" s="201"/>
      <c r="I431" s="211"/>
      <c r="J431" s="211"/>
      <c r="K431" s="498"/>
      <c r="L431" s="498"/>
      <c r="M431" s="498"/>
      <c r="N431" s="498"/>
      <c r="O431" s="511"/>
      <c r="P431" s="498"/>
      <c r="Q431" s="130"/>
      <c r="R431" s="130"/>
      <c r="S431" s="178"/>
      <c r="T431" s="178"/>
      <c r="U431" s="178"/>
      <c r="V431" s="178" t="str">
        <f t="shared" si="207"/>
        <v/>
      </c>
      <c r="W431" s="178"/>
      <c r="X431" s="178"/>
      <c r="Y431" s="178"/>
      <c r="Z431" s="131" t="str">
        <f>IFERROR(IF(AND(S430="Probabilidad",S431="Probabilidad"),(Z430-(+Z430*V431)),IF(S431="Probabilidad",(L430-(+L430*V431)),IF(S431="Impacto",Z430,""))),"")</f>
        <v/>
      </c>
      <c r="AA431" s="220"/>
      <c r="AB431" s="220"/>
      <c r="AC431" s="498"/>
      <c r="AD431" s="182" t="str">
        <f t="shared" si="208"/>
        <v/>
      </c>
      <c r="AE431" s="220"/>
      <c r="AF431" s="220"/>
      <c r="AG431" s="498"/>
      <c r="AH431" s="498"/>
      <c r="AI431" s="498"/>
      <c r="AJ431" s="178"/>
      <c r="AK431" s="178"/>
      <c r="AL431" s="152"/>
      <c r="AM431" s="178"/>
      <c r="AN431" s="178"/>
      <c r="AO431" s="178"/>
      <c r="AP431" s="498"/>
      <c r="AQ431" s="538"/>
      <c r="FM431" s="90"/>
      <c r="FN431" s="87"/>
      <c r="FO431" s="87"/>
      <c r="FP431" s="87"/>
      <c r="FQ431" s="87"/>
      <c r="FR431" s="87"/>
      <c r="FS431" s="87"/>
      <c r="FT431" s="87"/>
      <c r="FU431" s="87"/>
      <c r="FV431" s="87"/>
      <c r="FW431" s="87"/>
      <c r="FX431" s="87"/>
      <c r="FY431" s="87"/>
    </row>
    <row r="432" spans="1:181" s="78" customFormat="1" ht="13.5" customHeight="1" x14ac:dyDescent="0.25">
      <c r="A432" s="199">
        <v>79</v>
      </c>
      <c r="B432" s="128" t="s">
        <v>112</v>
      </c>
      <c r="C432" s="199" t="s">
        <v>248</v>
      </c>
      <c r="D432" s="199" t="s">
        <v>538</v>
      </c>
      <c r="E432" s="199" t="s">
        <v>539</v>
      </c>
      <c r="F432" s="464" t="s">
        <v>540</v>
      </c>
      <c r="G432" s="199" t="s">
        <v>149</v>
      </c>
      <c r="H432" s="199" t="s">
        <v>268</v>
      </c>
      <c r="I432" s="209" t="s">
        <v>83</v>
      </c>
      <c r="J432" s="209">
        <v>18000</v>
      </c>
      <c r="K432" s="496" t="str">
        <f>IF(AND(J432&lt;=2),"Muy Baja",IF(AND(J432&gt;=3,J432&lt;=23),"Baja",IF(AND(J432&gt;=24,J432&lt;=499),"Media",IF(AND(J432&gt;=500,J432&lt;=4999),"Alta",IF(AND(J432&gt;=5000),"Muy Alta",FALSE)))))</f>
        <v>Muy Alta</v>
      </c>
      <c r="L432" s="496" t="str">
        <f>IF(AND(J432&lt;=2),"20%",IF(AND(J432&gt;=3,J432&lt;=23),"40%",IF(AND(J432&gt;=24,J432&lt;=499),"60%",IF(AND(J432&gt;=500,J432&lt;=4999),"80%",IF(AND(J432&gt;=5000),"100%",FALSE)))))</f>
        <v>100%</v>
      </c>
      <c r="M432" s="496" t="s">
        <v>162</v>
      </c>
      <c r="N432" s="496" t="str">
        <f>IF(AND(M432=$FQ$4),"Leve",IF(AND(M432=$FQ$5),"Menor",IF(AND(M432=$FQ$6),"Moderado",IF(AND(M432=$FQ$7),"mayor",IF(AND(M432=$FQ$8),"Catastrófico",IF(AND(M432=$FQ$10),"Leve",IF(AND(M432=$FQ$11),"Menor",IF(AND(M432=$FQ$12),"Moderado",IF(AND(M432=$FQ$13),"Mayor",IF(AND(M432=$FQ$14),"Catastrófico",FALSE))))))))))</f>
        <v>Moderado</v>
      </c>
      <c r="O432" s="509" t="str">
        <f>IF(AND(N432="Leve"),"20%",IF(AND(N432="Menor"),"40%",IF(AND(N432="Moderado"),"60%",IF(AND(N432="Mayor"),"80%",IF(AND(N432="Catastrófico"),"100%","")))))</f>
        <v>60%</v>
      </c>
      <c r="P432" s="496" t="str">
        <f>INDEX('[6]MATRIZ RIESGO'!$D$6:$H$10,MATCH(K432,'[6]MATRIZ RIESGO'!$C$6:$C$10,),MATCH(N432,'[6]MATRIZ RIESGO'!$D$5:$H$5,))</f>
        <v>Alto</v>
      </c>
      <c r="Q432" s="130">
        <v>1</v>
      </c>
      <c r="R432" s="130" t="s">
        <v>746</v>
      </c>
      <c r="S432" s="178" t="s">
        <v>237</v>
      </c>
      <c r="T432" s="178" t="s">
        <v>152</v>
      </c>
      <c r="U432" s="178" t="s">
        <v>153</v>
      </c>
      <c r="V432" s="178" t="str">
        <f>IF(AND(T432=$FS$2,U432=$FT$2),"50%",IF(AND(T432=$FS$2,U432=$FT$3),"40%",IF(AND(T432=$FS$3,U432=$FT$2),"40%",IF(AND(T432=$FS$3,U432=$FT$3),"30%",IF(AND(T432=$FS$4,U432=$FT$2),"35%",IF(AND(T432=$FS$4,U432=$FT$3),"25%",""))))))</f>
        <v>40%</v>
      </c>
      <c r="W432" s="178" t="s">
        <v>161</v>
      </c>
      <c r="X432" s="178" t="s">
        <v>155</v>
      </c>
      <c r="Y432" s="178" t="s">
        <v>165</v>
      </c>
      <c r="Z432" s="131">
        <f>IFERROR(IF(S432="Probabilidad",(L432-(+L432*V432)),IF(S432="Impacto",L432,"")),"")</f>
        <v>0.6</v>
      </c>
      <c r="AA432" s="218">
        <f>LOOKUP(2,1/(Z432:Z437&lt;&gt;""),Z432:Z437)</f>
        <v>0.36</v>
      </c>
      <c r="AB432" s="218">
        <f t="shared" ref="AB432" si="209">AA432*1</f>
        <v>0.36</v>
      </c>
      <c r="AC432" s="496" t="str">
        <f t="shared" ref="AC432" si="210">IF(AND(AB432&lt;=20%),"Muy Baja",IF(AND(AB432&gt;=21%,AB432&lt;=40%),"Baja",IF(AND(AB432&gt;=41%,AB432&lt;=60%),"Media",IF(AND(AB432&gt;=61%,AB432&lt;=80%),"Alta",IF(AND(AB432&gt;=81%,AB432&gt;=100%),"Muy Alta",FALSE)))))</f>
        <v>Baja</v>
      </c>
      <c r="AD432" s="182" t="str">
        <f>IFERROR(IF(S432="Impacto",(O432-(+O432*V432)),IF(S432="Probabilidad",O432,"")),"")</f>
        <v>60%</v>
      </c>
      <c r="AE432" s="218" t="str">
        <f>LOOKUP(2,1/(AD432:AD437&lt;&gt;""),AD432:AD437)</f>
        <v>60%</v>
      </c>
      <c r="AF432" s="218">
        <f>AE432*1</f>
        <v>0.6</v>
      </c>
      <c r="AG432" s="496" t="str">
        <f t="shared" ref="AG432" si="211">CHOOSE((AF432&gt;=0%)+(AF432&gt;=21%)+(AF432&gt;=41%)+(AF432&gt;=61%)+(AF432&gt;=81%),"Leve","Menor","Moderado","Mayor","Catastrófico")</f>
        <v>Moderado</v>
      </c>
      <c r="AH432" s="496" t="str">
        <f>INDEX('[6]MATRIZ RIESGO'!$D$6:$H$10,MATCH(AC432,'[6]MATRIZ RIESGO'!$C$6:$C$10,),MATCH(AG432,'[6]MATRIZ RIESGO'!$D$5:$H$5,))</f>
        <v>Moderado</v>
      </c>
      <c r="AI432" s="496" t="s">
        <v>111</v>
      </c>
      <c r="AJ432" s="178"/>
      <c r="AK432" s="178"/>
      <c r="AL432" s="152"/>
      <c r="AM432" s="178"/>
      <c r="AN432" s="178"/>
      <c r="AO432" s="178"/>
      <c r="AP432" s="496" t="s">
        <v>541</v>
      </c>
      <c r="AQ432" s="539" t="s">
        <v>113</v>
      </c>
      <c r="FM432" s="89"/>
      <c r="FQ432" s="80"/>
    </row>
    <row r="433" spans="1:181" s="78" customFormat="1" ht="13.5" customHeight="1" x14ac:dyDescent="0.25">
      <c r="A433" s="200"/>
      <c r="B433" s="128" t="s">
        <v>112</v>
      </c>
      <c r="C433" s="200"/>
      <c r="D433" s="200"/>
      <c r="E433" s="200"/>
      <c r="F433" s="465"/>
      <c r="G433" s="200"/>
      <c r="H433" s="200"/>
      <c r="I433" s="210"/>
      <c r="J433" s="210"/>
      <c r="K433" s="497"/>
      <c r="L433" s="497"/>
      <c r="M433" s="497"/>
      <c r="N433" s="497"/>
      <c r="O433" s="510"/>
      <c r="P433" s="497"/>
      <c r="Q433" s="130">
        <v>2</v>
      </c>
      <c r="R433" s="130" t="s">
        <v>542</v>
      </c>
      <c r="S433" s="178" t="s">
        <v>237</v>
      </c>
      <c r="T433" s="178" t="s">
        <v>152</v>
      </c>
      <c r="U433" s="178" t="s">
        <v>153</v>
      </c>
      <c r="V433" s="178" t="str">
        <f t="shared" ref="V433:V437" si="212">IF(AND(T433=$FS$2,U433=$FT$2),"50%",IF(AND(T433=$FS$2,U433=$FT$3),"40%",IF(AND(T433=$FS$3,U433=$FT$2),"40%",IF(AND(T433=$FS$3,U433=$FT$3),"30%",IF(AND(T433=$FS$4,U433=$FT$2),"35%",IF(AND(T433=$FS$4,U433=$FT$3),"25%",""))))))</f>
        <v>40%</v>
      </c>
      <c r="W433" s="178" t="s">
        <v>154</v>
      </c>
      <c r="X433" s="178" t="s">
        <v>155</v>
      </c>
      <c r="Y433" s="178" t="s">
        <v>156</v>
      </c>
      <c r="Z433" s="131">
        <f>IFERROR(IF(AND(S432="Probabilidad",S433="Probabilidad"),(Z432-(+Z432*V433)),IF(S433="Probabilidad",(L432-(+L432*V433)),IF(S433="Impacto",Z432,""))),"")</f>
        <v>0.36</v>
      </c>
      <c r="AA433" s="219"/>
      <c r="AB433" s="219"/>
      <c r="AC433" s="497"/>
      <c r="AD433" s="182" t="str">
        <f>IFERROR(IF(AND(S432="Impacto",V433="Impacto"),(AD432-(+AD432*V433)),IF(S433="Impacto",(O432-(+O432*V433)),IF(S433="Probabilidad",AD432,""))),"")</f>
        <v>60%</v>
      </c>
      <c r="AE433" s="219"/>
      <c r="AF433" s="219"/>
      <c r="AG433" s="497"/>
      <c r="AH433" s="497"/>
      <c r="AI433" s="497"/>
      <c r="AJ433" s="178"/>
      <c r="AK433" s="178"/>
      <c r="AL433" s="152"/>
      <c r="AM433" s="178"/>
      <c r="AN433" s="178"/>
      <c r="AO433" s="178"/>
      <c r="AP433" s="497"/>
      <c r="AQ433" s="537"/>
      <c r="FM433" s="89"/>
    </row>
    <row r="434" spans="1:181" s="78" customFormat="1" ht="13.5" customHeight="1" x14ac:dyDescent="0.25">
      <c r="A434" s="200"/>
      <c r="B434" s="128" t="s">
        <v>112</v>
      </c>
      <c r="C434" s="200"/>
      <c r="D434" s="200"/>
      <c r="E434" s="200"/>
      <c r="F434" s="465"/>
      <c r="G434" s="200"/>
      <c r="H434" s="200"/>
      <c r="I434" s="210"/>
      <c r="J434" s="210"/>
      <c r="K434" s="497"/>
      <c r="L434" s="497"/>
      <c r="M434" s="497"/>
      <c r="N434" s="497"/>
      <c r="O434" s="510"/>
      <c r="P434" s="497"/>
      <c r="Q434" s="130"/>
      <c r="R434" s="130"/>
      <c r="S434" s="178"/>
      <c r="T434" s="178"/>
      <c r="U434" s="178"/>
      <c r="V434" s="178" t="str">
        <f t="shared" si="212"/>
        <v/>
      </c>
      <c r="W434" s="178"/>
      <c r="X434" s="178"/>
      <c r="Y434" s="178"/>
      <c r="Z434" s="131" t="str">
        <f>IFERROR(IF(AND(S433="Probabilidad",S434="Probabilidad"),(Z433-(+Z433*V434)),IF(S434="Probabilidad",(L433-(+L433*V434)),IF(S434="Impacto",Z433,""))),"")</f>
        <v/>
      </c>
      <c r="AA434" s="219"/>
      <c r="AB434" s="219"/>
      <c r="AC434" s="497"/>
      <c r="AD434" s="182" t="str">
        <f t="shared" ref="AD434:AD437" si="213">IFERROR(IF(AND(S433="Impacto",V434="Impacto"),(AD433-(+AD433*V434)),IF(S434="Impacto",(O433-(+O433*V434)),IF(S434="Probabilidad",AD433,""))),"")</f>
        <v/>
      </c>
      <c r="AE434" s="219"/>
      <c r="AF434" s="219"/>
      <c r="AG434" s="497"/>
      <c r="AH434" s="497"/>
      <c r="AI434" s="497"/>
      <c r="AJ434" s="178"/>
      <c r="AK434" s="178"/>
      <c r="AL434" s="152"/>
      <c r="AM434" s="178"/>
      <c r="AN434" s="178"/>
      <c r="AO434" s="178"/>
      <c r="AP434" s="497"/>
      <c r="AQ434" s="537"/>
      <c r="FM434" s="89"/>
    </row>
    <row r="435" spans="1:181" s="78" customFormat="1" ht="13.5" customHeight="1" x14ac:dyDescent="0.25">
      <c r="A435" s="200"/>
      <c r="B435" s="128" t="s">
        <v>112</v>
      </c>
      <c r="C435" s="200"/>
      <c r="D435" s="200"/>
      <c r="E435" s="200"/>
      <c r="F435" s="465"/>
      <c r="G435" s="200"/>
      <c r="H435" s="200"/>
      <c r="I435" s="210"/>
      <c r="J435" s="210"/>
      <c r="K435" s="497"/>
      <c r="L435" s="497"/>
      <c r="M435" s="497"/>
      <c r="N435" s="497"/>
      <c r="O435" s="510"/>
      <c r="P435" s="497"/>
      <c r="Q435" s="130"/>
      <c r="R435" s="130"/>
      <c r="S435" s="178"/>
      <c r="T435" s="178"/>
      <c r="U435" s="178"/>
      <c r="V435" s="178" t="str">
        <f t="shared" si="212"/>
        <v/>
      </c>
      <c r="W435" s="178"/>
      <c r="X435" s="178"/>
      <c r="Y435" s="178"/>
      <c r="Z435" s="131" t="str">
        <f>IFERROR(IF(AND(S434="Probabilidad",S435="Probabilidad"),(Z434-(+Z434*V435)),IF(S435="Probabilidad",(L434-(+L434*V435)),IF(S435="Impacto",Z434,""))),"")</f>
        <v/>
      </c>
      <c r="AA435" s="219"/>
      <c r="AB435" s="219"/>
      <c r="AC435" s="497"/>
      <c r="AD435" s="182" t="str">
        <f t="shared" si="213"/>
        <v/>
      </c>
      <c r="AE435" s="219"/>
      <c r="AF435" s="219"/>
      <c r="AG435" s="497"/>
      <c r="AH435" s="497"/>
      <c r="AI435" s="497"/>
      <c r="AJ435" s="178"/>
      <c r="AK435" s="178"/>
      <c r="AL435" s="152"/>
      <c r="AM435" s="178"/>
      <c r="AN435" s="178"/>
      <c r="AO435" s="178"/>
      <c r="AP435" s="497"/>
      <c r="AQ435" s="537"/>
      <c r="FM435" s="89"/>
    </row>
    <row r="436" spans="1:181" s="78" customFormat="1" ht="13.5" customHeight="1" x14ac:dyDescent="0.25">
      <c r="A436" s="200"/>
      <c r="B436" s="128" t="s">
        <v>112</v>
      </c>
      <c r="C436" s="200"/>
      <c r="D436" s="200"/>
      <c r="E436" s="200"/>
      <c r="F436" s="465"/>
      <c r="G436" s="200"/>
      <c r="H436" s="200"/>
      <c r="I436" s="210"/>
      <c r="J436" s="210"/>
      <c r="K436" s="497"/>
      <c r="L436" s="497"/>
      <c r="M436" s="497"/>
      <c r="N436" s="497"/>
      <c r="O436" s="510"/>
      <c r="P436" s="497"/>
      <c r="Q436" s="130"/>
      <c r="R436" s="130"/>
      <c r="S436" s="178"/>
      <c r="T436" s="178"/>
      <c r="U436" s="178"/>
      <c r="V436" s="178" t="str">
        <f t="shared" si="212"/>
        <v/>
      </c>
      <c r="W436" s="178"/>
      <c r="X436" s="178"/>
      <c r="Y436" s="178"/>
      <c r="Z436" s="131" t="str">
        <f>IFERROR(IF(AND(S435="Probabilidad",S436="Probabilidad"),(Z435-(+Z435*V436)),IF(S436="Probabilidad",(L435-(+L435*V436)),IF(S436="Impacto",Z435,""))),"")</f>
        <v/>
      </c>
      <c r="AA436" s="219"/>
      <c r="AB436" s="219"/>
      <c r="AC436" s="497"/>
      <c r="AD436" s="182" t="str">
        <f t="shared" si="213"/>
        <v/>
      </c>
      <c r="AE436" s="219"/>
      <c r="AF436" s="219"/>
      <c r="AG436" s="497"/>
      <c r="AH436" s="497"/>
      <c r="AI436" s="497"/>
      <c r="AJ436" s="178"/>
      <c r="AK436" s="178"/>
      <c r="AL436" s="152"/>
      <c r="AM436" s="178"/>
      <c r="AN436" s="178"/>
      <c r="AO436" s="178"/>
      <c r="AP436" s="497"/>
      <c r="AQ436" s="537"/>
      <c r="FM436" s="89"/>
    </row>
    <row r="437" spans="1:181" s="78" customFormat="1" ht="13.5" customHeight="1" thickBot="1" x14ac:dyDescent="0.3">
      <c r="A437" s="201"/>
      <c r="B437" s="128" t="s">
        <v>112</v>
      </c>
      <c r="C437" s="201"/>
      <c r="D437" s="201"/>
      <c r="E437" s="201"/>
      <c r="F437" s="466"/>
      <c r="G437" s="201"/>
      <c r="H437" s="201"/>
      <c r="I437" s="211"/>
      <c r="J437" s="211"/>
      <c r="K437" s="498"/>
      <c r="L437" s="498"/>
      <c r="M437" s="498"/>
      <c r="N437" s="498"/>
      <c r="O437" s="511"/>
      <c r="P437" s="498"/>
      <c r="Q437" s="130"/>
      <c r="R437" s="130"/>
      <c r="S437" s="178"/>
      <c r="T437" s="178"/>
      <c r="U437" s="178"/>
      <c r="V437" s="178" t="str">
        <f t="shared" si="212"/>
        <v/>
      </c>
      <c r="W437" s="178"/>
      <c r="X437" s="178"/>
      <c r="Y437" s="178"/>
      <c r="Z437" s="131" t="str">
        <f>IFERROR(IF(AND(S436="Probabilidad",S437="Probabilidad"),(Z436-(+Z436*V437)),IF(S437="Probabilidad",(L436-(+L436*V437)),IF(S437="Impacto",Z436,""))),"")</f>
        <v/>
      </c>
      <c r="AA437" s="220"/>
      <c r="AB437" s="220"/>
      <c r="AC437" s="498"/>
      <c r="AD437" s="182" t="str">
        <f t="shared" si="213"/>
        <v/>
      </c>
      <c r="AE437" s="220"/>
      <c r="AF437" s="220"/>
      <c r="AG437" s="498"/>
      <c r="AH437" s="498"/>
      <c r="AI437" s="498"/>
      <c r="AJ437" s="178"/>
      <c r="AK437" s="178"/>
      <c r="AL437" s="152"/>
      <c r="AM437" s="178"/>
      <c r="AN437" s="178"/>
      <c r="AO437" s="178"/>
      <c r="AP437" s="498"/>
      <c r="AQ437" s="538"/>
      <c r="FM437" s="89"/>
      <c r="FQ437" s="79"/>
    </row>
    <row r="438" spans="1:181" s="78" customFormat="1" ht="14.25" customHeight="1" x14ac:dyDescent="0.25">
      <c r="A438" s="567">
        <v>80</v>
      </c>
      <c r="B438" s="126" t="s">
        <v>115</v>
      </c>
      <c r="C438" s="472" t="s">
        <v>248</v>
      </c>
      <c r="D438" s="472" t="s">
        <v>568</v>
      </c>
      <c r="E438" s="472" t="s">
        <v>569</v>
      </c>
      <c r="F438" s="471" t="s">
        <v>748</v>
      </c>
      <c r="G438" s="463" t="s">
        <v>167</v>
      </c>
      <c r="H438" s="199" t="s">
        <v>255</v>
      </c>
      <c r="I438" s="506" t="s">
        <v>151</v>
      </c>
      <c r="J438" s="503">
        <v>7258</v>
      </c>
      <c r="K438" s="496" t="str">
        <f>IF(AND(J438&lt;=2),"Muy Baja",IF(AND(J438&gt;=3,J438&lt;=23),"Baja",IF(AND(J438&gt;=24,J438&lt;=499),"Media",IF(AND(J438&gt;=500,J438&lt;=4999),"Alta",IF(AND(J438&gt;=5000),"Muy Alta",FALSE)))))</f>
        <v>Muy Alta</v>
      </c>
      <c r="L438" s="496" t="str">
        <f>IF(AND(J438&lt;=2),"20%",IF(AND(J438&gt;=3,J438&lt;=23),"40%",IF(AND(J438&gt;=24,J438&lt;=499),"60%",IF(AND(J438&gt;=500,J438&lt;=4999),"80%",IF(AND(J438&gt;=5000),"100%",FALSE)))))</f>
        <v>100%</v>
      </c>
      <c r="M438" s="496" t="s">
        <v>235</v>
      </c>
      <c r="N438" s="496" t="str">
        <f>IF(AND(M438=$FQ$4),"Leve",IF(AND(M438=$FQ$5),"Menor",IF(AND(M438=$FQ$6),"Moderado",IF(AND(M438=$FQ$7),"mayor",IF(AND(M438=$FQ$8),"Catastrófico",IF(AND(M438=$FQ$10),"Leve",IF(AND(M438=$FQ$11),"Menor",IF(AND(M438=$FQ$12),"Moderado",IF(AND(M438=$FQ$13),"Mayor",IF(AND(M438=$FQ$14),"Catastrófico",FALSE))))))))))</f>
        <v>Catastrófico</v>
      </c>
      <c r="O438" s="509" t="str">
        <f>IF(AND(N438="Leve"),"20%",IF(AND(N438="Menor"),"40%",IF(AND(N438="Moderado"),"60%",IF(AND(N438="Mayor"),"80%",IF(AND(N438="Catastrófico"),"100%","")))))</f>
        <v>100%</v>
      </c>
      <c r="P438" s="496" t="str">
        <f>INDEX('[29]MATRIZ RIESGO'!$D$6:$H$10,MATCH(K438,'[29]MATRIZ RIESGO'!$C$6:$C$10,),MATCH(N438,'[29]MATRIZ RIESGO'!$D$5:$H$5,))</f>
        <v>Extremo</v>
      </c>
      <c r="Q438" s="572">
        <v>1</v>
      </c>
      <c r="R438" s="130" t="s">
        <v>730</v>
      </c>
      <c r="S438" s="178" t="s">
        <v>237</v>
      </c>
      <c r="T438" s="178" t="s">
        <v>152</v>
      </c>
      <c r="U438" s="178" t="s">
        <v>153</v>
      </c>
      <c r="V438" s="178" t="str">
        <f>IF(AND(T438=$FS$2,U438=$FT$2),"50%",IF(AND(T438=$FS$2,U438=$FT$3),"40%",IF(AND(T438=$FS$3,U438=$FT$2),"40%",IF(AND(T438=$FS$3,U438=$FT$3),"30%",IF(AND(T438=$FS$4,U438=$FT$2),"35%",IF(AND(T438=$FS$4,U438=$FT$3),"25%",""))))))</f>
        <v>40%</v>
      </c>
      <c r="W438" s="178" t="s">
        <v>154</v>
      </c>
      <c r="X438" s="178" t="s">
        <v>155</v>
      </c>
      <c r="Y438" s="178" t="s">
        <v>165</v>
      </c>
      <c r="Z438" s="131">
        <f>IFERROR(IF(S438="Probabilidad",(L438-(+L438*V438)),IF(S438="Impacto",L438,"")),"")</f>
        <v>0.6</v>
      </c>
      <c r="AA438" s="218">
        <f>LOOKUP(2,1/(Z438:Z443&lt;&gt;""),Z438:Z443)</f>
        <v>0.12959999999999999</v>
      </c>
      <c r="AB438" s="218">
        <f t="shared" ref="AB438" si="214">AA438*1</f>
        <v>0.12959999999999999</v>
      </c>
      <c r="AC438" s="496" t="str">
        <f t="shared" ref="AC438" si="215">IF(AND(AB438&lt;=20%),"Muy Baja",IF(AND(AB438&gt;=21%,AB438&lt;=40%),"Baja",IF(AND(AB438&gt;=41%,AB438&lt;=60%),"Media",IF(AND(AB438&gt;=61%,AB438&lt;=80%),"Alta",IF(AND(AB438&gt;=81%,AB438&gt;=100%),"Muy Alta",FALSE)))))</f>
        <v>Muy Baja</v>
      </c>
      <c r="AD438" s="182" t="str">
        <f>IFERROR(IF(S438="Impacto",(O438-(+O438*V438)),IF(S438="Probabilidad",O438,"")),"")</f>
        <v>100%</v>
      </c>
      <c r="AE438" s="218" t="str">
        <f>LOOKUP(2,1/(AD438:AD443&lt;&gt;""),AD438:AD443)</f>
        <v>100%</v>
      </c>
      <c r="AF438" s="218">
        <f>AE438*1</f>
        <v>1</v>
      </c>
      <c r="AG438" s="496" t="str">
        <f t="shared" ref="AG438" si="216">CHOOSE((AF438&gt;=0%)+(AF438&gt;=21%)+(AF438&gt;=41%)+(AF438&gt;=61%)+(AF438&gt;=81%),"Leve","Menor","Moderado","Mayor","Catastrófico")</f>
        <v>Catastrófico</v>
      </c>
      <c r="AH438" s="496" t="str">
        <f>INDEX('[29]MATRIZ RIESGO'!$D$6:$H$10,MATCH(AC438,'[29]MATRIZ RIESGO'!$C$6:$C$10,),MATCH(AG438,'[29]MATRIZ RIESGO'!$D$5:$H$5,))</f>
        <v>Extremo</v>
      </c>
      <c r="AI438" s="496" t="s">
        <v>77</v>
      </c>
      <c r="AJ438" s="172"/>
      <c r="AK438" s="172"/>
      <c r="AL438" s="163"/>
      <c r="AM438" s="172"/>
      <c r="AN438" s="172"/>
      <c r="AO438" s="172"/>
      <c r="AP438" s="496" t="s">
        <v>749</v>
      </c>
      <c r="AQ438" s="539" t="s">
        <v>113</v>
      </c>
      <c r="FM438" s="89"/>
      <c r="FQ438" s="80"/>
    </row>
    <row r="439" spans="1:181" s="78" customFormat="1" ht="14.25" customHeight="1" x14ac:dyDescent="0.25">
      <c r="A439" s="447"/>
      <c r="B439" s="126" t="s">
        <v>115</v>
      </c>
      <c r="C439" s="325"/>
      <c r="D439" s="325"/>
      <c r="E439" s="325"/>
      <c r="F439" s="441"/>
      <c r="G439" s="438"/>
      <c r="H439" s="200"/>
      <c r="I439" s="507"/>
      <c r="J439" s="504"/>
      <c r="K439" s="497"/>
      <c r="L439" s="497"/>
      <c r="M439" s="497"/>
      <c r="N439" s="497"/>
      <c r="O439" s="510"/>
      <c r="P439" s="497"/>
      <c r="Q439" s="572">
        <v>2</v>
      </c>
      <c r="R439" s="130" t="s">
        <v>755</v>
      </c>
      <c r="S439" s="178" t="s">
        <v>237</v>
      </c>
      <c r="T439" s="178" t="s">
        <v>152</v>
      </c>
      <c r="U439" s="178" t="s">
        <v>153</v>
      </c>
      <c r="V439" s="178" t="str">
        <f>IF(AND(T439=$FS$2,U439=$FT$2),"50%",IF(AND(T439=$FS$2,U439=$FT$3),"40%",IF(AND(T439=$FS$3,U439=$FT$2),"40%",IF(AND(T439=$FS$3,U439=$FT$3),"30%",IF(AND(T439=$FS$4,U439=$FT$2),"35%",IF(AND(T439=$FS$4,U439=$FT$3),"25%",""))))))</f>
        <v>40%</v>
      </c>
      <c r="W439" s="178" t="s">
        <v>154</v>
      </c>
      <c r="X439" s="178" t="s">
        <v>155</v>
      </c>
      <c r="Y439" s="178" t="s">
        <v>156</v>
      </c>
      <c r="Z439" s="131">
        <f>IFERROR(IF(AND(S438="Probabilidad",S439="Probabilidad"),(Z438-(+Z438*V439)),IF(S439="Probabilidad",(L438-(+L438*V439)),IF(S439="Impacto",Z438,""))),"")</f>
        <v>0.36</v>
      </c>
      <c r="AA439" s="219"/>
      <c r="AB439" s="219"/>
      <c r="AC439" s="497"/>
      <c r="AD439" s="182" t="str">
        <f>IFERROR(IF(AND(S438="Impacto",#REF!="Impacto"),(AD438-(+AD438*#REF!)),IF(#REF!="Impacto",(O438-(+O438*#REF!)),IF(#REF!="Probabilidad",AD438,""))),"")</f>
        <v/>
      </c>
      <c r="AE439" s="219"/>
      <c r="AF439" s="219"/>
      <c r="AG439" s="497"/>
      <c r="AH439" s="497"/>
      <c r="AI439" s="497"/>
      <c r="AJ439" s="172"/>
      <c r="AK439" s="172"/>
      <c r="AL439" s="163"/>
      <c r="AM439" s="172"/>
      <c r="AN439" s="172"/>
      <c r="AO439" s="172"/>
      <c r="AP439" s="497"/>
      <c r="AQ439" s="537"/>
      <c r="FM439" s="89"/>
    </row>
    <row r="440" spans="1:181" s="78" customFormat="1" ht="14.25" customHeight="1" x14ac:dyDescent="0.25">
      <c r="A440" s="447"/>
      <c r="B440" s="126" t="s">
        <v>115</v>
      </c>
      <c r="C440" s="325"/>
      <c r="D440" s="325"/>
      <c r="E440" s="325"/>
      <c r="F440" s="441"/>
      <c r="G440" s="438"/>
      <c r="H440" s="200"/>
      <c r="I440" s="507"/>
      <c r="J440" s="504"/>
      <c r="K440" s="497"/>
      <c r="L440" s="497"/>
      <c r="M440" s="497"/>
      <c r="N440" s="497"/>
      <c r="O440" s="510"/>
      <c r="P440" s="497"/>
      <c r="Q440" s="572">
        <v>3</v>
      </c>
      <c r="R440" s="130" t="s">
        <v>833</v>
      </c>
      <c r="S440" s="178" t="s">
        <v>237</v>
      </c>
      <c r="T440" s="178" t="s">
        <v>152</v>
      </c>
      <c r="U440" s="178" t="s">
        <v>153</v>
      </c>
      <c r="V440" s="178" t="str">
        <f>IF(AND(T440=$FS$2,U440=$FT$2),"50%",IF(AND(T440=$FS$2,U440=$FT$3),"40%",IF(AND(T440=$FS$3,U440=$FT$2),"40%",IF(AND(T440=$FS$3,U440=$FT$3),"30%",IF(AND(T440=$FS$4,U440=$FT$2),"35%",IF(AND(T440=$FS$4,U440=$FT$3),"25%",""))))))</f>
        <v>40%</v>
      </c>
      <c r="W440" s="178" t="s">
        <v>154</v>
      </c>
      <c r="X440" s="178" t="s">
        <v>155</v>
      </c>
      <c r="Y440" s="178" t="s">
        <v>156</v>
      </c>
      <c r="Z440" s="131">
        <f>IFERROR(IF(AND(S439="Probabilidad",S440="Probabilidad"),(Z439-(+Z439*V440)),IF(S440="Probabilidad",(L439-(+L439*V440)),IF(S440="Impacto",Z439,""))),"")</f>
        <v>0.216</v>
      </c>
      <c r="AA440" s="219"/>
      <c r="AB440" s="219"/>
      <c r="AC440" s="497"/>
      <c r="AD440" s="182" t="str">
        <f>IFERROR(IF(AND(#REF!="Impacto",#REF!="Impacto"),(AD439-(+AD439*#REF!)),IF(#REF!="Impacto",(O439-(+O439*#REF!)),IF(#REF!="Probabilidad",AD439,""))),"")</f>
        <v/>
      </c>
      <c r="AE440" s="219"/>
      <c r="AF440" s="219"/>
      <c r="AG440" s="497"/>
      <c r="AH440" s="497"/>
      <c r="AI440" s="497"/>
      <c r="AJ440" s="172"/>
      <c r="AK440" s="172"/>
      <c r="AL440" s="163"/>
      <c r="AM440" s="172"/>
      <c r="AN440" s="172"/>
      <c r="AO440" s="172"/>
      <c r="AP440" s="497"/>
      <c r="AQ440" s="537"/>
      <c r="FM440" s="89"/>
    </row>
    <row r="441" spans="1:181" s="78" customFormat="1" ht="14.25" customHeight="1" x14ac:dyDescent="0.25">
      <c r="A441" s="447"/>
      <c r="B441" s="126" t="s">
        <v>115</v>
      </c>
      <c r="C441" s="325"/>
      <c r="D441" s="325"/>
      <c r="E441" s="325"/>
      <c r="F441" s="441"/>
      <c r="G441" s="438"/>
      <c r="H441" s="200"/>
      <c r="I441" s="507"/>
      <c r="J441" s="504"/>
      <c r="K441" s="497"/>
      <c r="L441" s="497"/>
      <c r="M441" s="497"/>
      <c r="N441" s="497"/>
      <c r="O441" s="510"/>
      <c r="P441" s="497"/>
      <c r="Q441" s="572">
        <v>4</v>
      </c>
      <c r="R441" s="133" t="s">
        <v>756</v>
      </c>
      <c r="S441" s="178" t="s">
        <v>237</v>
      </c>
      <c r="T441" s="178" t="s">
        <v>152</v>
      </c>
      <c r="U441" s="178" t="s">
        <v>153</v>
      </c>
      <c r="V441" s="178" t="str">
        <f t="shared" ref="V441:V443" si="217">IF(AND(T441=$FS$2,U441=$FT$2),"50%",IF(AND(T441=$FS$2,U441=$FT$3),"40%",IF(AND(T441=$FS$3,U441=$FT$2),"40%",IF(AND(T441=$FS$3,U441=$FT$3),"30%",IF(AND(T441=$FS$4,U441=$FT$2),"35%",IF(AND(T441=$FS$4,U441=$FT$3),"25%",""))))))</f>
        <v>40%</v>
      </c>
      <c r="W441" s="178" t="s">
        <v>161</v>
      </c>
      <c r="X441" s="178" t="s">
        <v>155</v>
      </c>
      <c r="Y441" s="178" t="s">
        <v>156</v>
      </c>
      <c r="Z441" s="131">
        <f>IFERROR(IF(AND(S440="Probabilidad",S441="Probabilidad"),(Z440-(+Z440*V441)),IF(S441="Probabilidad",(L440-(+L440*V441)),IF(S441="Impacto",Z440,""))),"")</f>
        <v>0.12959999999999999</v>
      </c>
      <c r="AA441" s="219"/>
      <c r="AB441" s="219"/>
      <c r="AC441" s="497"/>
      <c r="AD441" s="182" t="str">
        <f>IFERROR(IF(AND(#REF!="Impacto",#REF!="Impacto"),(AD440-(+AD440*#REF!)),IF(#REF!="Impacto",(O440-(+O440*#REF!)),IF(#REF!="Probabilidad",AD440,""))),"")</f>
        <v/>
      </c>
      <c r="AE441" s="219"/>
      <c r="AF441" s="219"/>
      <c r="AG441" s="497"/>
      <c r="AH441" s="497"/>
      <c r="AI441" s="497"/>
      <c r="AJ441" s="172"/>
      <c r="AK441" s="172"/>
      <c r="AL441" s="163"/>
      <c r="AM441" s="172"/>
      <c r="AN441" s="172"/>
      <c r="AO441" s="172"/>
      <c r="AP441" s="497"/>
      <c r="AQ441" s="537"/>
      <c r="FM441" s="89"/>
    </row>
    <row r="442" spans="1:181" s="78" customFormat="1" ht="14.25" customHeight="1" x14ac:dyDescent="0.25">
      <c r="A442" s="447"/>
      <c r="B442" s="126" t="s">
        <v>115</v>
      </c>
      <c r="C442" s="325"/>
      <c r="D442" s="325"/>
      <c r="E442" s="325"/>
      <c r="F442" s="441"/>
      <c r="G442" s="438"/>
      <c r="H442" s="200"/>
      <c r="I442" s="507"/>
      <c r="J442" s="504"/>
      <c r="K442" s="497"/>
      <c r="L442" s="497"/>
      <c r="M442" s="497"/>
      <c r="N442" s="497"/>
      <c r="O442" s="510"/>
      <c r="P442" s="497"/>
      <c r="Q442" s="572"/>
      <c r="R442" s="133"/>
      <c r="S442" s="178"/>
      <c r="T442" s="178"/>
      <c r="U442" s="178"/>
      <c r="V442" s="178" t="str">
        <f t="shared" si="217"/>
        <v/>
      </c>
      <c r="W442" s="178"/>
      <c r="X442" s="178"/>
      <c r="Y442" s="178"/>
      <c r="Z442" s="131" t="str">
        <f>IFERROR(IF(AND(S441="Probabilidad",S442="Probabilidad"),(Z441-(+Z441*V442)),IF(S442="Probabilidad",(L441-(+L441*V442)),IF(S442="Impacto",Z441,""))),"")</f>
        <v/>
      </c>
      <c r="AA442" s="219"/>
      <c r="AB442" s="219"/>
      <c r="AC442" s="497"/>
      <c r="AD442" s="182" t="str">
        <f>IFERROR(IF(AND(#REF!="Impacto",V442="Impacto"),(AD441-(+AD441*V442)),IF(S442="Impacto",(O441-(+O441*V442)),IF(S442="Probabilidad",AD441,""))),"")</f>
        <v/>
      </c>
      <c r="AE442" s="219"/>
      <c r="AF442" s="219"/>
      <c r="AG442" s="497"/>
      <c r="AH442" s="497"/>
      <c r="AI442" s="497"/>
      <c r="AJ442" s="172"/>
      <c r="AK442" s="172"/>
      <c r="AL442" s="163"/>
      <c r="AM442" s="172"/>
      <c r="AN442" s="172"/>
      <c r="AO442" s="172"/>
      <c r="AP442" s="497"/>
      <c r="AQ442" s="537"/>
      <c r="FM442" s="89"/>
    </row>
    <row r="443" spans="1:181" s="78" customFormat="1" ht="14.25" customHeight="1" x14ac:dyDescent="0.2">
      <c r="A443" s="448"/>
      <c r="B443" s="126" t="s">
        <v>115</v>
      </c>
      <c r="C443" s="445"/>
      <c r="D443" s="445"/>
      <c r="E443" s="445"/>
      <c r="F443" s="443"/>
      <c r="G443" s="439"/>
      <c r="H443" s="201"/>
      <c r="I443" s="532"/>
      <c r="J443" s="625"/>
      <c r="K443" s="498"/>
      <c r="L443" s="498"/>
      <c r="M443" s="498"/>
      <c r="N443" s="498"/>
      <c r="O443" s="511"/>
      <c r="P443" s="498"/>
      <c r="Q443" s="572"/>
      <c r="R443" s="133"/>
      <c r="S443" s="178"/>
      <c r="T443" s="178"/>
      <c r="U443" s="178"/>
      <c r="V443" s="178" t="str">
        <f t="shared" si="217"/>
        <v/>
      </c>
      <c r="W443" s="178"/>
      <c r="X443" s="178"/>
      <c r="Y443" s="178"/>
      <c r="Z443" s="131" t="str">
        <f>IFERROR(IF(AND(S442="Probabilidad",S443="Probabilidad"),(Z442-(+Z442*V443)),IF(S443="Probabilidad",(L442-(+L442*V443)),IF(S443="Impacto",Z442,""))),"")</f>
        <v/>
      </c>
      <c r="AA443" s="220"/>
      <c r="AB443" s="220"/>
      <c r="AC443" s="498"/>
      <c r="AD443" s="182" t="str">
        <f t="shared" ref="AD443" si="218">IFERROR(IF(AND(S442="Impacto",V443="Impacto"),(AD442-(+AD442*V443)),IF(S443="Impacto",(O442-(+O442*V443)),IF(S443="Probabilidad",AD442,""))),"")</f>
        <v/>
      </c>
      <c r="AE443" s="220"/>
      <c r="AF443" s="220"/>
      <c r="AG443" s="498"/>
      <c r="AH443" s="498"/>
      <c r="AI443" s="498"/>
      <c r="AJ443" s="172"/>
      <c r="AK443" s="172"/>
      <c r="AL443" s="163"/>
      <c r="AM443" s="172"/>
      <c r="AN443" s="172"/>
      <c r="AO443" s="172"/>
      <c r="AP443" s="498"/>
      <c r="AQ443" s="538"/>
      <c r="FM443" s="90"/>
      <c r="FN443" s="87"/>
      <c r="FO443" s="87"/>
      <c r="FP443" s="87"/>
      <c r="FQ443" s="87"/>
      <c r="FR443" s="87"/>
      <c r="FS443" s="87"/>
      <c r="FT443" s="87"/>
      <c r="FU443" s="87"/>
      <c r="FV443" s="87"/>
      <c r="FW443" s="87"/>
      <c r="FX443" s="87"/>
      <c r="FY443" s="87"/>
    </row>
    <row r="444" spans="1:181" s="78" customFormat="1" ht="14.25" customHeight="1" x14ac:dyDescent="0.25">
      <c r="A444" s="199">
        <v>81</v>
      </c>
      <c r="B444" s="128" t="s">
        <v>356</v>
      </c>
      <c r="C444" s="199" t="s">
        <v>260</v>
      </c>
      <c r="D444" s="199" t="s">
        <v>381</v>
      </c>
      <c r="E444" s="199" t="s">
        <v>382</v>
      </c>
      <c r="F444" s="199" t="s">
        <v>383</v>
      </c>
      <c r="G444" s="199" t="s">
        <v>149</v>
      </c>
      <c r="H444" s="199" t="s">
        <v>267</v>
      </c>
      <c r="I444" s="199" t="s">
        <v>83</v>
      </c>
      <c r="J444" s="202">
        <v>5</v>
      </c>
      <c r="K444" s="496" t="str">
        <f>IF(AND(J444&lt;=2),"Muy Baja",IF(AND(J444&gt;=3,J444&lt;=23),"Baja",IF(AND(J444&gt;=24,J444&lt;=499),"Media",IF(AND(J444&gt;=500,J444&lt;=4999),"Alta",IF(AND(J444&gt;=5000),"Muy Alta",FALSE)))))</f>
        <v>Baja</v>
      </c>
      <c r="L444" s="496" t="str">
        <f>IF(AND(J444&lt;=2),"20%",IF(AND(J444&gt;=3,J444&lt;=23),"40%",IF(AND(J444&gt;=24,J444&lt;=499),"60%",IF(AND(J444&gt;=500,J444&lt;=4999),"80%",IF(AND(J444&gt;=5000),"100%",FALSE)))))</f>
        <v>40%</v>
      </c>
      <c r="M444" s="496" t="s">
        <v>235</v>
      </c>
      <c r="N444" s="496" t="str">
        <f>IF(AND(M444=$FQ$4),"Leve",IF(AND(M444=$FQ$5),"Menor",IF(AND(M444=$FQ$6),"Moderado",IF(AND(M444=$FQ$7),"mayor",IF(AND(M444=$FQ$8),"Catastrófico",IF(AND(M444=$FQ$10),"Leve",IF(AND(M444=$FQ$11),"Menor",IF(AND(M444=$FQ$12),"Moderado",IF(AND(M444=$FQ$13),"Mayor",IF(AND(M444=$FQ$14),"Catastrófico",FALSE))))))))))</f>
        <v>Catastrófico</v>
      </c>
      <c r="O444" s="509" t="str">
        <f>IF(AND(N444="Leve"),"20%",IF(AND(N444="Menor"),"40%",IF(AND(N444="Moderado"),"60%",IF(AND(N444="Mayor"),"80%",IF(AND(N444="Catastrófico"),"100%","")))))</f>
        <v>100%</v>
      </c>
      <c r="P444" s="496" t="str">
        <f>IF(AND(L444&lt;="40%",O444="20%"),"Bajo",IF(AND(L444="60%",O444="20%"),"Moderado",IF(AND(L444="80%",O444="20%"),"Moderado",IF(AND(L444="100%",O444="20%"),"Alto",IF(AND(L444="20%",O444="40%"),"Bajo",IF(AND(L444="40%",O444="40%"),"Moderado",IF(AND(L444="60%",O444="40%"),"Moderado",IF(AND(L444="80%",O444="40%"),"Moderado",IF(AND(L444="100%",O444="40%"),"Alto",IF(AND(L444="20%",O444="60%"),"Moderado",IF(AND(L444="40%",O444="60%"),"Moderado",IF(AND(L444="60%",O444="60%"),"Moderado",IF(AND(L444="80%",O444="60%"),"Alto",IF(AND(L444="100%",O444="60%"),"Alto",IF(AND(L444="20%",O444="80%"),"Alto",IF(AND(L444="40%",O444="80%"),"Alto",IF(AND(L444="60%",O444="80%"),"Alto",IF(AND(L444="80%",O444="80%"),"Alto",IF(AND(L444="100%",O444="80%"),"Alto",IF(AND(L444="20%",O444="100%"),"Extremo",IF(AND(L444="40%",O444="100%"),"Extremo",IF(AND(L444="60%",O444="100%"),"Extremo",IF(AND(L444="80%",O444="100%"),"Moderado",IF(AND(L444="100%",O444="100%"),"Extremo",""""))))))))))))))))))))))))</f>
        <v>Extremo</v>
      </c>
      <c r="Q444" s="130">
        <v>1</v>
      </c>
      <c r="R444" s="133" t="s">
        <v>733</v>
      </c>
      <c r="S444" s="178" t="s">
        <v>237</v>
      </c>
      <c r="T444" s="178" t="s">
        <v>152</v>
      </c>
      <c r="U444" s="178" t="s">
        <v>153</v>
      </c>
      <c r="V444" s="178" t="str">
        <f>IF(AND(T444=$FS$2,U444=$FT$2),"50%",IF(AND(T444=$FS$2,U444=$FT$3),"40%",IF(AND(T444=$FS$3,U444=$FT$2),"40%",IF(AND(T444=$FS$3,U444=$FT$3),"30%",IF(AND(T444=$FS$4,U444=$FT$2),"35%",IF(AND(T444=$FS$4,U444=$FT$3),"25%",""))))))</f>
        <v>40%</v>
      </c>
      <c r="W444" s="178" t="s">
        <v>154</v>
      </c>
      <c r="X444" s="178" t="s">
        <v>155</v>
      </c>
      <c r="Y444" s="178" t="s">
        <v>156</v>
      </c>
      <c r="Z444" s="131">
        <f>IFERROR(IF(S444="Probabilidad",(L444-(+L444*V444)),IF(S444="Impacto",L444,"")),"")</f>
        <v>0.24</v>
      </c>
      <c r="AA444" s="218">
        <f>LOOKUP(2,1/(Z444:Z449&lt;&gt;""),Z444:Z449)</f>
        <v>0.24</v>
      </c>
      <c r="AB444" s="182"/>
      <c r="AC444" s="496" t="str">
        <f>IF(AND(AA444&lt;=20%),"Muy Baja",IF(AND(AA444&gt;=21%,AA444&lt;=40%),"Baja",IF(AND(AA444&gt;=41%,AA444&lt;=60%),"Media",IF(AND(AA444&gt;=61%,AA444&lt;=80%),"Alta",IF(AND(AA444&gt;=81%,AA444&gt;=100%),"Muy Alta",FALSE)))))</f>
        <v>Baja</v>
      </c>
      <c r="AD444" s="182" t="str">
        <f>IFERROR(IF(S444="Impacto",(O444-(+O444*V444)),IF(S444="Probabilidad",O444,"")),"")</f>
        <v>100%</v>
      </c>
      <c r="AE444" s="218" t="str">
        <f>LOOKUP(2,1/(AD444:AD449&lt;&gt;""),AD444:AD449)</f>
        <v>100%</v>
      </c>
      <c r="AF444" s="182"/>
      <c r="AG444" s="496" t="str">
        <f>IF(AND(AE444&lt;=20%),"Leve",IF(AND(AE444&gt;=21%,AE444&lt;=40%),"Menor",IF(AND(AE444&gt;=41%,AE444&lt;=60%),"Moderado",IF(AND(AE444&gt;=61%,AE444&lt;=80%),"Mayor",IF(AND(AE444&gt;=81%,AE444&gt;=100%),"Catastrófico",FALSE)))))</f>
        <v>Catastrófico</v>
      </c>
      <c r="AH444" s="496" t="str">
        <f>IF(OR(AND(AC444="Media",AG444="Leve"),AND(AC444="Alta",AG444="Leve"),AND(AC444="Alta",AG444="Menor"),AND(AC444="Media",AG444="Menor"),AND(AC444="Baja",AG444="Menor"),AND(AC444="Media",AG444="Moderado"),AND(AC444="Baja",AG444="Moderado"),AND(AC444="Muy Baja",AG444="Moderado")),"Moderado",IF(OR(AND(AC444="Baja",AG444="Leve"),AND(AC444="Muy Baja",AG444="Leve"),AND(AC444="Muy Baja",AG444="Menor")),"Bajo",IF(OR(AND(AC444="Muy Alta",AG444="Leve"),AND(AC444="Muy Alta",AG444="Menor"),AND(AC444="Muy Alta",AG444="Moderado"),AND(AC444="Alta",AG444="Moderado"),AND(AC444="Muy Alta",AG444="Mayor"),AND(AC444="Alta",AG444="Mayor"),AND(AC444="Media",AG444="Mayor"),AND(AC444="Baja",AG444="Mayor"),AND(AC444="Muy Baja",AG444="Mayor")),"Alto",IF(OR(AND(AC444="Alta",AG444="Catastrófico"),AND(AC444="Muy Alta",AG444="Catastrófico"),AND(AC444="Media",AG444="Catastrófico"),AND(AC444="Baja",AG444="Catastrófico"),AND(AC444="Muy Baja",AG444="Catastrófico")),"Extremo",IF(AG444="Catastrófico","Extremo")))))</f>
        <v>Extremo</v>
      </c>
      <c r="AI444" s="496" t="s">
        <v>111</v>
      </c>
      <c r="AJ444" s="178"/>
      <c r="AK444" s="178"/>
      <c r="AL444" s="178"/>
      <c r="AM444" s="178"/>
      <c r="AN444" s="178"/>
      <c r="AO444" s="178"/>
      <c r="AP444" s="496" t="s">
        <v>384</v>
      </c>
      <c r="AQ444" s="539" t="s">
        <v>113</v>
      </c>
      <c r="FM444" s="89"/>
      <c r="FQ444" s="80"/>
    </row>
    <row r="445" spans="1:181" s="78" customFormat="1" ht="14.25" customHeight="1" x14ac:dyDescent="0.25">
      <c r="A445" s="200"/>
      <c r="B445" s="128" t="s">
        <v>356</v>
      </c>
      <c r="C445" s="200"/>
      <c r="D445" s="200"/>
      <c r="E445" s="200"/>
      <c r="F445" s="200"/>
      <c r="G445" s="200"/>
      <c r="H445" s="200"/>
      <c r="I445" s="200"/>
      <c r="J445" s="203"/>
      <c r="K445" s="497"/>
      <c r="L445" s="497"/>
      <c r="M445" s="497"/>
      <c r="N445" s="497"/>
      <c r="O445" s="510"/>
      <c r="P445" s="497"/>
      <c r="Q445" s="130"/>
      <c r="R445" s="133"/>
      <c r="S445" s="178"/>
      <c r="T445" s="178"/>
      <c r="U445" s="178"/>
      <c r="V445" s="178" t="str">
        <f t="shared" ref="V445:V449" si="219">IF(AND(T445=$FS$2,U445=$FT$2),"50%",IF(AND(T445=$FS$2,U445=$FT$3),"40%",IF(AND(T445=$FS$3,U445=$FT$2),"40%",IF(AND(T445=$FS$3,U445=$FT$3),"30%",IF(AND(T445=$FS$4,U445=$FT$2),"35%",IF(AND(T445=$FS$4,U445=$FT$3),"25%",""))))))</f>
        <v/>
      </c>
      <c r="W445" s="178"/>
      <c r="X445" s="178"/>
      <c r="Y445" s="178"/>
      <c r="Z445" s="131" t="str">
        <f>IFERROR(IF(AND(S444="Probabilidad",S445="Probabilidad"),(Z444-(+Z444*V445)),IF(S445="Probabilidad",(L444-(+L444*V445)),IF(S445="Impacto",Z444,""))),"")</f>
        <v/>
      </c>
      <c r="AA445" s="219"/>
      <c r="AB445" s="182"/>
      <c r="AC445" s="497"/>
      <c r="AD445" s="182" t="str">
        <f>IFERROR(IF(AND(S444="Impacto",V445="Impacto"),(AD444-(+AD444*V445)),IF(S445="Impacto",(O444-(+O444*V445)),IF(S445="Probabilidad",AD444,""))),"")</f>
        <v/>
      </c>
      <c r="AE445" s="219"/>
      <c r="AF445" s="182"/>
      <c r="AG445" s="497"/>
      <c r="AH445" s="497"/>
      <c r="AI445" s="497"/>
      <c r="AJ445" s="178"/>
      <c r="AK445" s="178"/>
      <c r="AL445" s="178"/>
      <c r="AM445" s="178"/>
      <c r="AN445" s="178"/>
      <c r="AO445" s="178"/>
      <c r="AP445" s="497"/>
      <c r="AQ445" s="537"/>
      <c r="FM445" s="89"/>
    </row>
    <row r="446" spans="1:181" s="78" customFormat="1" ht="14.25" customHeight="1" x14ac:dyDescent="0.25">
      <c r="A446" s="200"/>
      <c r="B446" s="128" t="s">
        <v>356</v>
      </c>
      <c r="C446" s="200"/>
      <c r="D446" s="200"/>
      <c r="E446" s="200"/>
      <c r="F446" s="200"/>
      <c r="G446" s="200"/>
      <c r="H446" s="200"/>
      <c r="I446" s="200"/>
      <c r="J446" s="203"/>
      <c r="K446" s="497"/>
      <c r="L446" s="497"/>
      <c r="M446" s="497"/>
      <c r="N446" s="497"/>
      <c r="O446" s="510"/>
      <c r="P446" s="497"/>
      <c r="Q446" s="130"/>
      <c r="R446" s="133"/>
      <c r="S446" s="178"/>
      <c r="T446" s="178"/>
      <c r="U446" s="178"/>
      <c r="V446" s="178" t="str">
        <f t="shared" si="219"/>
        <v/>
      </c>
      <c r="W446" s="178"/>
      <c r="X446" s="178"/>
      <c r="Y446" s="178"/>
      <c r="Z446" s="131" t="str">
        <f>IFERROR(IF(AND(S445="Probabilidad",S446="Probabilidad"),(Z445-(+Z445*V446)),IF(S446="Probabilidad",(L445-(+L445*V446)),IF(S446="Impacto",Z445,""))),"")</f>
        <v/>
      </c>
      <c r="AA446" s="219"/>
      <c r="AB446" s="182"/>
      <c r="AC446" s="497"/>
      <c r="AD446" s="182" t="str">
        <f t="shared" ref="AD446:AD449" si="220">IFERROR(IF(AND(S445="Impacto",V446="Impacto"),(AD445-(+AD445*V446)),IF(S446="Impacto",(O445-(+O445*V446)),IF(S446="Probabilidad",AD445,""))),"")</f>
        <v/>
      </c>
      <c r="AE446" s="219"/>
      <c r="AF446" s="182"/>
      <c r="AG446" s="497"/>
      <c r="AH446" s="497"/>
      <c r="AI446" s="497"/>
      <c r="AJ446" s="178"/>
      <c r="AK446" s="178"/>
      <c r="AL446" s="178"/>
      <c r="AM446" s="178"/>
      <c r="AN446" s="178"/>
      <c r="AO446" s="178"/>
      <c r="AP446" s="497"/>
      <c r="AQ446" s="537"/>
      <c r="FM446" s="89"/>
    </row>
    <row r="447" spans="1:181" s="78" customFormat="1" ht="14.25" customHeight="1" x14ac:dyDescent="0.25">
      <c r="A447" s="200"/>
      <c r="B447" s="128" t="s">
        <v>356</v>
      </c>
      <c r="C447" s="200"/>
      <c r="D447" s="200"/>
      <c r="E447" s="200"/>
      <c r="F447" s="200"/>
      <c r="G447" s="200"/>
      <c r="H447" s="200"/>
      <c r="I447" s="200"/>
      <c r="J447" s="203"/>
      <c r="K447" s="497"/>
      <c r="L447" s="497"/>
      <c r="M447" s="497"/>
      <c r="N447" s="497"/>
      <c r="O447" s="510"/>
      <c r="P447" s="497"/>
      <c r="Q447" s="130"/>
      <c r="R447" s="133"/>
      <c r="S447" s="178"/>
      <c r="T447" s="178"/>
      <c r="U447" s="178"/>
      <c r="V447" s="178" t="str">
        <f t="shared" si="219"/>
        <v/>
      </c>
      <c r="W447" s="178"/>
      <c r="X447" s="178"/>
      <c r="Y447" s="178"/>
      <c r="Z447" s="131" t="str">
        <f>IFERROR(IF(AND(S446="Probabilidad",S447="Probabilidad"),(Z446-(+Z446*V447)),IF(S447="Probabilidad",(L446-(+L446*V447)),IF(S447="Impacto",Z446,""))),"")</f>
        <v/>
      </c>
      <c r="AA447" s="219"/>
      <c r="AB447" s="182"/>
      <c r="AC447" s="497"/>
      <c r="AD447" s="182" t="str">
        <f t="shared" si="220"/>
        <v/>
      </c>
      <c r="AE447" s="219"/>
      <c r="AF447" s="182"/>
      <c r="AG447" s="497"/>
      <c r="AH447" s="497"/>
      <c r="AI447" s="497"/>
      <c r="AJ447" s="178"/>
      <c r="AK447" s="178"/>
      <c r="AL447" s="178"/>
      <c r="AM447" s="178"/>
      <c r="AN447" s="178"/>
      <c r="AO447" s="178"/>
      <c r="AP447" s="497"/>
      <c r="AQ447" s="537"/>
      <c r="FM447" s="89"/>
    </row>
    <row r="448" spans="1:181" s="78" customFormat="1" ht="14.25" customHeight="1" x14ac:dyDescent="0.25">
      <c r="A448" s="200"/>
      <c r="B448" s="128" t="s">
        <v>356</v>
      </c>
      <c r="C448" s="200"/>
      <c r="D448" s="200"/>
      <c r="E448" s="200"/>
      <c r="F448" s="200"/>
      <c r="G448" s="200"/>
      <c r="H448" s="200"/>
      <c r="I448" s="200"/>
      <c r="J448" s="203"/>
      <c r="K448" s="497"/>
      <c r="L448" s="497"/>
      <c r="M448" s="497"/>
      <c r="N448" s="497"/>
      <c r="O448" s="510"/>
      <c r="P448" s="497"/>
      <c r="Q448" s="130"/>
      <c r="R448" s="133"/>
      <c r="S448" s="178"/>
      <c r="T448" s="178"/>
      <c r="U448" s="178"/>
      <c r="V448" s="178" t="str">
        <f t="shared" si="219"/>
        <v/>
      </c>
      <c r="W448" s="178"/>
      <c r="X448" s="178"/>
      <c r="Y448" s="178"/>
      <c r="Z448" s="131" t="str">
        <f>IFERROR(IF(AND(S447="Probabilidad",S448="Probabilidad"),(Z447-(+Z447*V448)),IF(S448="Probabilidad",(L447-(+L447*V448)),IF(S448="Impacto",Z447,""))),"")</f>
        <v/>
      </c>
      <c r="AA448" s="219"/>
      <c r="AB448" s="182"/>
      <c r="AC448" s="497"/>
      <c r="AD448" s="182" t="str">
        <f t="shared" si="220"/>
        <v/>
      </c>
      <c r="AE448" s="219"/>
      <c r="AF448" s="182"/>
      <c r="AG448" s="497"/>
      <c r="AH448" s="497"/>
      <c r="AI448" s="497"/>
      <c r="AJ448" s="178"/>
      <c r="AK448" s="178"/>
      <c r="AL448" s="178"/>
      <c r="AM448" s="178"/>
      <c r="AN448" s="178"/>
      <c r="AO448" s="178"/>
      <c r="AP448" s="497"/>
      <c r="AQ448" s="537"/>
      <c r="FM448" s="89"/>
    </row>
    <row r="449" spans="1:181" s="78" customFormat="1" ht="14.25" customHeight="1" x14ac:dyDescent="0.2">
      <c r="A449" s="201"/>
      <c r="B449" s="128" t="s">
        <v>356</v>
      </c>
      <c r="C449" s="201"/>
      <c r="D449" s="201"/>
      <c r="E449" s="201"/>
      <c r="F449" s="201"/>
      <c r="G449" s="201"/>
      <c r="H449" s="201"/>
      <c r="I449" s="201"/>
      <c r="J449" s="204"/>
      <c r="K449" s="498"/>
      <c r="L449" s="498"/>
      <c r="M449" s="498"/>
      <c r="N449" s="498"/>
      <c r="O449" s="511"/>
      <c r="P449" s="498"/>
      <c r="Q449" s="130"/>
      <c r="R449" s="133"/>
      <c r="S449" s="178"/>
      <c r="T449" s="178"/>
      <c r="U449" s="178"/>
      <c r="V449" s="178" t="str">
        <f t="shared" si="219"/>
        <v/>
      </c>
      <c r="W449" s="178"/>
      <c r="X449" s="178"/>
      <c r="Y449" s="178"/>
      <c r="Z449" s="131" t="str">
        <f>IFERROR(IF(AND(S448="Probabilidad",S449="Probabilidad"),(Z448-(+Z448*V449)),IF(S449="Probabilidad",(L448-(+L448*V449)),IF(S449="Impacto",Z448,""))),"")</f>
        <v/>
      </c>
      <c r="AA449" s="220"/>
      <c r="AB449" s="182"/>
      <c r="AC449" s="498"/>
      <c r="AD449" s="182" t="str">
        <f t="shared" si="220"/>
        <v/>
      </c>
      <c r="AE449" s="220"/>
      <c r="AF449" s="182"/>
      <c r="AG449" s="498"/>
      <c r="AH449" s="498"/>
      <c r="AI449" s="498"/>
      <c r="AJ449" s="178"/>
      <c r="AK449" s="178"/>
      <c r="AL449" s="178"/>
      <c r="AM449" s="178"/>
      <c r="AN449" s="178"/>
      <c r="AO449" s="178"/>
      <c r="AP449" s="498"/>
      <c r="AQ449" s="538"/>
      <c r="FM449" s="90"/>
      <c r="FN449" s="87"/>
      <c r="FO449" s="87"/>
      <c r="FP449" s="87"/>
      <c r="FQ449" s="87"/>
      <c r="FR449" s="87"/>
      <c r="FS449" s="87"/>
      <c r="FT449" s="87"/>
      <c r="FU449" s="87"/>
      <c r="FV449" s="87"/>
      <c r="FW449" s="87"/>
      <c r="FX449" s="87"/>
      <c r="FY449" s="87"/>
    </row>
    <row r="450" spans="1:181" s="78" customFormat="1" ht="14.25" customHeight="1" x14ac:dyDescent="0.25">
      <c r="A450" s="208">
        <v>82</v>
      </c>
      <c r="B450" s="110" t="s">
        <v>308</v>
      </c>
      <c r="C450" s="208" t="s">
        <v>260</v>
      </c>
      <c r="D450" s="208" t="s">
        <v>335</v>
      </c>
      <c r="E450" s="208" t="s">
        <v>336</v>
      </c>
      <c r="F450" s="208" t="s">
        <v>337</v>
      </c>
      <c r="G450" s="208" t="s">
        <v>149</v>
      </c>
      <c r="H450" s="208" t="s">
        <v>267</v>
      </c>
      <c r="I450" s="208" t="s">
        <v>83</v>
      </c>
      <c r="J450" s="208">
        <v>12</v>
      </c>
      <c r="K450" s="485" t="str">
        <f>IF(AND(J450&lt;=2),"Muy Baja",IF(AND(J450&gt;=3,J450&lt;=23),"Baja",IF(AND(J450&gt;=24,J450&lt;=499),"Media",IF(AND(J450&gt;=500,J450&lt;=4999),"Alta",IF(AND(J450&gt;=5000),"Muy Alta",FALSE)))))</f>
        <v>Baja</v>
      </c>
      <c r="L450" s="485" t="str">
        <f>IF(AND(J450&lt;=2),"20%",IF(AND(J450&gt;=3,J450&lt;=23),"40%",IF(AND(J450&gt;=24,J450&lt;=499),"60%",IF(AND(J450&gt;=500,J450&lt;=4999),"80%",IF(AND(J450&gt;=5000),"100%",FALSE)))))</f>
        <v>40%</v>
      </c>
      <c r="M450" s="485" t="s">
        <v>235</v>
      </c>
      <c r="N450" s="485" t="str">
        <f>IF(AND(M450=$FQ$4),"Leve",IF(AND(M450=$FQ$5),"Menor",IF(AND(M450=$FQ$6),"Moderado",IF(AND(M450=$FQ$7),"mayor",IF(AND(M450=$FQ$8),"Catastrófico",IF(AND(M450=$FQ$10),"Leve",IF(AND(M450=$FQ$11),"Menor",IF(AND(M450=$FQ$12),"Moderado",IF(AND(M450=$FQ$13),"Mayor",IF(AND(M450=$FQ$14),"Catastrófico",FALSE))))))))))</f>
        <v>Catastrófico</v>
      </c>
      <c r="O450" s="490" t="str">
        <f>IF(AND(N450="Leve"),"20%",IF(AND(N450="Menor"),"40%",IF(AND(N450="Moderado"),"60%",IF(AND(N450="Mayor"),"80%",IF(AND(N450="Catastrófico"),"100%","")))))</f>
        <v>100%</v>
      </c>
      <c r="P450" s="485" t="str">
        <f>IF(AND(L450&lt;="40%",O450="20%"),"Bajo",IF(AND(L450="60%",O450="20%"),"Moderado",IF(AND(L450="80%",O450="20%"),"Moderado",IF(AND(L450="100%",O450="20%"),"Alto",IF(AND(L450="20%",O450="40%"),"Bajo",IF(AND(L450="40%",O450="40%"),"Moderado",IF(AND(L450="60%",O450="40%"),"Moderado",IF(AND(L450="80%",O450="40%"),"Moderado",IF(AND(L450="100%",O450="40%"),"Alto",IF(AND(L450="20%",O450="60%"),"Moderado",IF(AND(L450="40%",O450="60%"),"Moderado",IF(AND(L450="60%",O450="60%"),"Moderado",IF(AND(L450="80%",O450="60%"),"Alto",IF(AND(L450="100%",O450="60%"),"Alto",IF(AND(L450="20%",O450="80%"),"Alto",IF(AND(L450="40%",O450="80%"),"Alto",IF(AND(L450="60%",O450="80%"),"Alto",IF(AND(L450="80%",O450="80%"),"Alto",IF(AND(L450="100%",O450="80%"),"Alto",IF(AND(L450="20%",O450="100%"),"Extremo",IF(AND(L450="40%",O450="100%"),"Extremo",IF(AND(L450="60%",O450="100%"),"Extremo",IF(AND(L450="80%",O450="100%"),"Moderado",IF(AND(L450="100%",O450="100%"),"Extremo",""""))))))))))))))))))))))))</f>
        <v>Extremo</v>
      </c>
      <c r="Q450" s="110">
        <v>1</v>
      </c>
      <c r="R450" s="134" t="s">
        <v>338</v>
      </c>
      <c r="S450" s="176" t="s">
        <v>237</v>
      </c>
      <c r="T450" s="176" t="s">
        <v>152</v>
      </c>
      <c r="U450" s="176" t="s">
        <v>153</v>
      </c>
      <c r="V450" s="176" t="str">
        <f>IF(AND(T450=$FS$2,U450=$FT$2),"50%",IF(AND(T450=$FS$2,U450=$FT$3),"40%",IF(AND(T450=$FS$3,U450=$FT$2),"40%",IF(AND(T450=$FS$3,U450=$FT$3),"30%",IF(AND(T450=$FS$4,U450=$FT$2),"35%",IF(AND(T450=$FS$4,U450=$FT$3),"25%",""))))))</f>
        <v>40%</v>
      </c>
      <c r="W450" s="176" t="s">
        <v>154</v>
      </c>
      <c r="X450" s="176" t="s">
        <v>155</v>
      </c>
      <c r="Y450" s="176" t="s">
        <v>156</v>
      </c>
      <c r="Z450" s="129">
        <f>IFERROR(IF(S450="Probabilidad",(L450-(+L450*V450)),IF(S450="Impacto",L450,"")),"")</f>
        <v>0.24</v>
      </c>
      <c r="AA450" s="488">
        <f>LOOKUP(2,1/(Z450:Z455&lt;&gt;""),Z450:Z455)</f>
        <v>0.14399999999999999</v>
      </c>
      <c r="AB450" s="177"/>
      <c r="AC450" s="485" t="str">
        <f>IF(AND(AA450&lt;=20%),"Muy Baja",IF(AND(AA450&gt;=21%,AA450&lt;=40%),"Baja",IF(AND(AA450&gt;=41%,AA450&lt;=60%),"Media",IF(AND(AA450&gt;=61%,AA450&lt;=80%),"Alta",IF(AND(AA450&gt;=81%,AA450&gt;=100%),"Muy Alta",FALSE)))))</f>
        <v>Muy Baja</v>
      </c>
      <c r="AD450" s="177" t="str">
        <f>IFERROR(IF(S450="Impacto",(O450-(+O450*V450)),IF(S450="Probabilidad",O450,"")),"")</f>
        <v>100%</v>
      </c>
      <c r="AE450" s="488" t="str">
        <f>LOOKUP(2,1/(AD450:AD455&lt;&gt;""),AD450:AD455)</f>
        <v>100%</v>
      </c>
      <c r="AF450" s="177"/>
      <c r="AG450" s="485" t="str">
        <f>IF(AND(AE450&lt;=20%),"Leve",IF(AND(AE450&gt;=21%,AE450&lt;=40%),"Menor",IF(AND(AE450&gt;=41%,AE450&lt;=60%),"Moderado",IF(AND(AE450&gt;=61%,AE450&lt;=80%),"Mayor",IF(AND(AE450&gt;=81%,AE450&gt;=100%),"Catastrófico",FALSE)))))</f>
        <v>Catastrófico</v>
      </c>
      <c r="AH450" s="485" t="str">
        <f>IF(OR(AND(AC450="Media",AG450="Leve"),AND(AC450="Alta",AG450="Leve"),AND(AC450="Alta",AG450="Menor"),AND(AC450="Media",AG450="Menor"),AND(AC450="Baja",AG450="Menor"),AND(AC450="Media",AG450="Moderado"),AND(AC450="Baja",AG450="Moderado"),AND(AC450="Muy Baja",AG450="Moderado")),"Moderado",IF(OR(AND(AC450="Baja",AG450="Leve"),AND(AC450="Muy Baja",AG450="Leve"),AND(AC450="Muy Baja",AG450="Menor")),"Bajo",IF(OR(AND(AC450="Muy Alta",AG450="Leve"),AND(AC450="Muy Alta",AG450="Menor"),AND(AC450="Muy Alta",AG450="Moderado"),AND(AC450="Alta",AG450="Moderado"),AND(AC450="Muy Alta",AG450="Mayor"),AND(AC450="Alta",AG450="Mayor"),AND(AC450="Media",AG450="Mayor"),AND(AC450="Baja",AG450="Mayor"),AND(AC450="Muy Baja",AG450="Mayor")),"Alto",IF(OR(AND(AC450="Alta",AG450="Catastrófico"),AND(AC450="Muy Alta",AG450="Catastrófico"),AND(AC450="Media",AG450="Catastrófico"),AND(AC450="Baja",AG450="Catastrófico"),AND(AC450="Muy Baja",AG450="Catastrófico")),"Extremo",IF(AG450="Catastrófico","Extremo")))))</f>
        <v>Extremo</v>
      </c>
      <c r="AI450" s="208" t="s">
        <v>111</v>
      </c>
      <c r="AJ450" s="176"/>
      <c r="AK450" s="176"/>
      <c r="AL450" s="176"/>
      <c r="AM450" s="176"/>
      <c r="AN450" s="176"/>
      <c r="AO450" s="176"/>
      <c r="AP450" s="496" t="s">
        <v>339</v>
      </c>
      <c r="AQ450" s="539" t="s">
        <v>113</v>
      </c>
      <c r="FM450" s="89"/>
      <c r="FQ450" s="80"/>
    </row>
    <row r="451" spans="1:181" s="78" customFormat="1" ht="14.25" customHeight="1" x14ac:dyDescent="0.25">
      <c r="A451" s="206"/>
      <c r="B451" s="110" t="s">
        <v>308</v>
      </c>
      <c r="C451" s="206"/>
      <c r="D451" s="206"/>
      <c r="E451" s="206"/>
      <c r="F451" s="206"/>
      <c r="G451" s="206"/>
      <c r="H451" s="206"/>
      <c r="I451" s="206"/>
      <c r="J451" s="206"/>
      <c r="K451" s="475"/>
      <c r="L451" s="475"/>
      <c r="M451" s="475"/>
      <c r="N451" s="475"/>
      <c r="O451" s="481"/>
      <c r="P451" s="475"/>
      <c r="Q451" s="110">
        <v>2</v>
      </c>
      <c r="R451" s="134" t="s">
        <v>340</v>
      </c>
      <c r="S451" s="176" t="s">
        <v>237</v>
      </c>
      <c r="T451" s="176" t="s">
        <v>152</v>
      </c>
      <c r="U451" s="176" t="s">
        <v>153</v>
      </c>
      <c r="V451" s="176" t="str">
        <f t="shared" ref="V451:V455" si="221">IF(AND(T451=$FS$2,U451=$FT$2),"50%",IF(AND(T451=$FS$2,U451=$FT$3),"40%",IF(AND(T451=$FS$3,U451=$FT$2),"40%",IF(AND(T451=$FS$3,U451=$FT$3),"30%",IF(AND(T451=$FS$4,U451=$FT$2),"35%",IF(AND(T451=$FS$4,U451=$FT$3),"25%",""))))))</f>
        <v>40%</v>
      </c>
      <c r="W451" s="176" t="s">
        <v>154</v>
      </c>
      <c r="X451" s="176" t="s">
        <v>155</v>
      </c>
      <c r="Y451" s="176" t="s">
        <v>156</v>
      </c>
      <c r="Z451" s="129">
        <f>IFERROR(IF(AND(S450="Probabilidad",S451="Probabilidad"),(Z450-(+Z450*V451)),IF(S451="Probabilidad",(L450-(+L450*V451)),IF(S451="Impacto",Z450,""))),"")</f>
        <v>0.14399999999999999</v>
      </c>
      <c r="AA451" s="478"/>
      <c r="AB451" s="177"/>
      <c r="AC451" s="475"/>
      <c r="AD451" s="177" t="str">
        <f>IFERROR(IF(AND(S450="Impacto",V451="Impacto"),(AD450-(+AD450*V451)),IF(S451="Impacto",(O450-(+O450*V451)),IF(S451="Probabilidad",AD450,""))),"")</f>
        <v>100%</v>
      </c>
      <c r="AE451" s="478"/>
      <c r="AF451" s="177"/>
      <c r="AG451" s="475"/>
      <c r="AH451" s="475"/>
      <c r="AI451" s="206"/>
      <c r="AJ451" s="176"/>
      <c r="AK451" s="176"/>
      <c r="AL451" s="176"/>
      <c r="AM451" s="176"/>
      <c r="AN451" s="176"/>
      <c r="AO451" s="176"/>
      <c r="AP451" s="497"/>
      <c r="AQ451" s="537"/>
      <c r="FM451" s="89"/>
    </row>
    <row r="452" spans="1:181" s="78" customFormat="1" ht="14.25" customHeight="1" x14ac:dyDescent="0.25">
      <c r="A452" s="206"/>
      <c r="B452" s="110" t="s">
        <v>308</v>
      </c>
      <c r="C452" s="206"/>
      <c r="D452" s="206"/>
      <c r="E452" s="206"/>
      <c r="F452" s="206"/>
      <c r="G452" s="206"/>
      <c r="H452" s="206"/>
      <c r="I452" s="206"/>
      <c r="J452" s="206"/>
      <c r="K452" s="475"/>
      <c r="L452" s="475"/>
      <c r="M452" s="475"/>
      <c r="N452" s="475"/>
      <c r="O452" s="481"/>
      <c r="P452" s="475"/>
      <c r="Q452" s="110"/>
      <c r="R452" s="176"/>
      <c r="S452" s="176"/>
      <c r="T452" s="176"/>
      <c r="U452" s="176"/>
      <c r="V452" s="176" t="str">
        <f t="shared" si="221"/>
        <v/>
      </c>
      <c r="W452" s="176"/>
      <c r="X452" s="176"/>
      <c r="Y452" s="176"/>
      <c r="Z452" s="129" t="str">
        <f>IFERROR(IF(AND(S451="Probabilidad",S452="Probabilidad"),(Z451-(+Z451*V452)),IF(S452="Probabilidad",(L451-(+L451*V452)),IF(S452="Impacto",Z451,""))),"")</f>
        <v/>
      </c>
      <c r="AA452" s="478"/>
      <c r="AB452" s="177"/>
      <c r="AC452" s="475"/>
      <c r="AD452" s="177" t="str">
        <f t="shared" ref="AD452:AD455" si="222">IFERROR(IF(AND(S451="Impacto",V452="Impacto"),(AD451-(+AD451*V452)),IF(S452="Impacto",(O451-(+O451*V452)),IF(S452="Probabilidad",AD451,""))),"")</f>
        <v/>
      </c>
      <c r="AE452" s="478"/>
      <c r="AF452" s="177"/>
      <c r="AG452" s="475"/>
      <c r="AH452" s="475"/>
      <c r="AI452" s="206"/>
      <c r="AJ452" s="176"/>
      <c r="AK452" s="176"/>
      <c r="AL452" s="176"/>
      <c r="AM452" s="176"/>
      <c r="AN452" s="176"/>
      <c r="AO452" s="176"/>
      <c r="AP452" s="497"/>
      <c r="AQ452" s="537"/>
      <c r="FM452" s="89"/>
    </row>
    <row r="453" spans="1:181" s="78" customFormat="1" ht="14.25" customHeight="1" x14ac:dyDescent="0.25">
      <c r="A453" s="206"/>
      <c r="B453" s="110" t="s">
        <v>308</v>
      </c>
      <c r="C453" s="206"/>
      <c r="D453" s="206"/>
      <c r="E453" s="206"/>
      <c r="F453" s="206"/>
      <c r="G453" s="206"/>
      <c r="H453" s="206"/>
      <c r="I453" s="206"/>
      <c r="J453" s="206"/>
      <c r="K453" s="475"/>
      <c r="L453" s="475"/>
      <c r="M453" s="475"/>
      <c r="N453" s="475"/>
      <c r="O453" s="481"/>
      <c r="P453" s="475"/>
      <c r="Q453" s="110"/>
      <c r="R453" s="176"/>
      <c r="S453" s="176"/>
      <c r="T453" s="176"/>
      <c r="U453" s="176"/>
      <c r="V453" s="176" t="str">
        <f t="shared" si="221"/>
        <v/>
      </c>
      <c r="W453" s="176"/>
      <c r="X453" s="176"/>
      <c r="Y453" s="176"/>
      <c r="Z453" s="129" t="str">
        <f>IFERROR(IF(AND(S452="Probabilidad",S453="Probabilidad"),(Z452-(+Z452*V453)),IF(S453="Probabilidad",(L452-(+L452*V453)),IF(S453="Impacto",Z452,""))),"")</f>
        <v/>
      </c>
      <c r="AA453" s="478"/>
      <c r="AB453" s="177"/>
      <c r="AC453" s="475"/>
      <c r="AD453" s="177" t="str">
        <f t="shared" si="222"/>
        <v/>
      </c>
      <c r="AE453" s="478"/>
      <c r="AF453" s="177"/>
      <c r="AG453" s="475"/>
      <c r="AH453" s="475"/>
      <c r="AI453" s="206"/>
      <c r="AJ453" s="176"/>
      <c r="AK453" s="176"/>
      <c r="AL453" s="176"/>
      <c r="AM453" s="176"/>
      <c r="AN453" s="176"/>
      <c r="AO453" s="176"/>
      <c r="AP453" s="497"/>
      <c r="AQ453" s="537"/>
      <c r="FM453" s="89"/>
    </row>
    <row r="454" spans="1:181" s="78" customFormat="1" ht="14.25" customHeight="1" x14ac:dyDescent="0.25">
      <c r="A454" s="206"/>
      <c r="B454" s="110" t="s">
        <v>308</v>
      </c>
      <c r="C454" s="206"/>
      <c r="D454" s="206"/>
      <c r="E454" s="206"/>
      <c r="F454" s="206"/>
      <c r="G454" s="206"/>
      <c r="H454" s="206"/>
      <c r="I454" s="206"/>
      <c r="J454" s="206"/>
      <c r="K454" s="475"/>
      <c r="L454" s="475"/>
      <c r="M454" s="475"/>
      <c r="N454" s="475"/>
      <c r="O454" s="481"/>
      <c r="P454" s="475"/>
      <c r="Q454" s="110"/>
      <c r="R454" s="176"/>
      <c r="S454" s="176"/>
      <c r="T454" s="176"/>
      <c r="U454" s="176"/>
      <c r="V454" s="176" t="str">
        <f t="shared" si="221"/>
        <v/>
      </c>
      <c r="W454" s="176"/>
      <c r="X454" s="176"/>
      <c r="Y454" s="176"/>
      <c r="Z454" s="129" t="str">
        <f>IFERROR(IF(AND(S453="Probabilidad",S454="Probabilidad"),(Z453-(+Z453*V454)),IF(S454="Probabilidad",(L453-(+L453*V454)),IF(S454="Impacto",Z453,""))),"")</f>
        <v/>
      </c>
      <c r="AA454" s="478"/>
      <c r="AB454" s="177"/>
      <c r="AC454" s="475"/>
      <c r="AD454" s="177" t="str">
        <f t="shared" si="222"/>
        <v/>
      </c>
      <c r="AE454" s="478"/>
      <c r="AF454" s="177"/>
      <c r="AG454" s="475"/>
      <c r="AH454" s="475"/>
      <c r="AI454" s="206"/>
      <c r="AJ454" s="176"/>
      <c r="AK454" s="176"/>
      <c r="AL454" s="176"/>
      <c r="AM454" s="176"/>
      <c r="AN454" s="176"/>
      <c r="AO454" s="176"/>
      <c r="AP454" s="497"/>
      <c r="AQ454" s="537"/>
      <c r="FM454" s="89"/>
    </row>
    <row r="455" spans="1:181" s="78" customFormat="1" ht="14.25" customHeight="1" thickBot="1" x14ac:dyDescent="0.25">
      <c r="A455" s="473"/>
      <c r="B455" s="110" t="s">
        <v>308</v>
      </c>
      <c r="C455" s="473"/>
      <c r="D455" s="473"/>
      <c r="E455" s="473"/>
      <c r="F455" s="541"/>
      <c r="G455" s="473"/>
      <c r="H455" s="473"/>
      <c r="I455" s="473"/>
      <c r="J455" s="473"/>
      <c r="K455" s="476"/>
      <c r="L455" s="476"/>
      <c r="M455" s="476"/>
      <c r="N455" s="476"/>
      <c r="O455" s="482"/>
      <c r="P455" s="476"/>
      <c r="Q455" s="110"/>
      <c r="R455" s="176"/>
      <c r="S455" s="176"/>
      <c r="T455" s="176"/>
      <c r="U455" s="176"/>
      <c r="V455" s="176" t="str">
        <f t="shared" si="221"/>
        <v/>
      </c>
      <c r="W455" s="176"/>
      <c r="X455" s="176"/>
      <c r="Y455" s="176"/>
      <c r="Z455" s="129" t="str">
        <f>IFERROR(IF(AND(S454="Probabilidad",S455="Probabilidad"),(Z454-(+Z454*V455)),IF(S455="Probabilidad",(L454-(+L454*V455)),IF(S455="Impacto",Z454,""))),"")</f>
        <v/>
      </c>
      <c r="AA455" s="479"/>
      <c r="AB455" s="177"/>
      <c r="AC455" s="476"/>
      <c r="AD455" s="177" t="str">
        <f t="shared" si="222"/>
        <v/>
      </c>
      <c r="AE455" s="479"/>
      <c r="AF455" s="177"/>
      <c r="AG455" s="476"/>
      <c r="AH455" s="476"/>
      <c r="AI455" s="473"/>
      <c r="AJ455" s="176"/>
      <c r="AK455" s="176"/>
      <c r="AL455" s="176"/>
      <c r="AM455" s="176"/>
      <c r="AN455" s="176"/>
      <c r="AO455" s="176"/>
      <c r="AP455" s="498"/>
      <c r="AQ455" s="538"/>
      <c r="FM455" s="90"/>
      <c r="FN455" s="87"/>
      <c r="FO455" s="87"/>
      <c r="FQ455" s="87"/>
      <c r="FR455" s="87"/>
      <c r="FS455" s="87"/>
      <c r="FT455" s="87"/>
      <c r="FU455" s="87"/>
      <c r="FV455" s="87"/>
      <c r="FW455" s="87"/>
      <c r="FX455" s="87"/>
      <c r="FY455" s="87"/>
    </row>
    <row r="456" spans="1:181" s="78" customFormat="1" ht="13.5" customHeight="1" x14ac:dyDescent="0.25">
      <c r="A456" s="199">
        <v>83</v>
      </c>
      <c r="B456" s="128" t="s">
        <v>112</v>
      </c>
      <c r="C456" s="199" t="s">
        <v>260</v>
      </c>
      <c r="D456" s="199" t="s">
        <v>543</v>
      </c>
      <c r="E456" s="199" t="s">
        <v>544</v>
      </c>
      <c r="F456" s="464" t="s">
        <v>747</v>
      </c>
      <c r="G456" s="199" t="s">
        <v>149</v>
      </c>
      <c r="H456" s="199" t="s">
        <v>268</v>
      </c>
      <c r="I456" s="209" t="s">
        <v>151</v>
      </c>
      <c r="J456" s="209">
        <v>1</v>
      </c>
      <c r="K456" s="496" t="str">
        <f>IF(AND(J456&lt;=2),"Muy Baja",IF(AND(J456&gt;=3,J456&lt;=23),"Baja",IF(AND(J456&gt;=24,J456&lt;=499),"Media",IF(AND(J456&gt;=500,J456&lt;=4999),"Alta",IF(AND(J456&gt;=5000),"Muy Alta",FALSE)))))</f>
        <v>Muy Baja</v>
      </c>
      <c r="L456" s="496" t="str">
        <f>IF(AND(J456&lt;=2),"20%",IF(AND(J456&gt;=3,J456&lt;=23),"40%",IF(AND(J456&gt;=24,J456&lt;=499),"60%",IF(AND(J456&gt;=500,J456&lt;=4999),"80%",IF(AND(J456&gt;=5000),"100%",FALSE)))))</f>
        <v>20%</v>
      </c>
      <c r="M456" s="496" t="s">
        <v>163</v>
      </c>
      <c r="N456" s="496" t="str">
        <f>IF(AND(M456=$FQ$4),"Leve",IF(AND(M456=$FQ$5),"Menor",IF(AND(M456=$FQ$6),"Moderado",IF(AND(M456=$FQ$7),"mayor",IF(AND(M456=$FQ$8),"Catastrófico",IF(AND(M456=$FQ$10),"Leve",IF(AND(M456=$FQ$11),"Menor",IF(AND(M456=$FQ$12),"Moderado",IF(AND(M456=$FQ$13),"Mayor",IF(AND(M456=$FQ$14),"Catastrófico",FALSE))))))))))</f>
        <v>Leve</v>
      </c>
      <c r="O456" s="509" t="str">
        <f>IF(AND(N456="Leve"),"20%",IF(AND(N456="Menor"),"40%",IF(AND(N456="Moderado"),"60%",IF(AND(N456="Mayor"),"80%",IF(AND(N456="Catastrófico"),"100%","")))))</f>
        <v>20%</v>
      </c>
      <c r="P456" s="496" t="str">
        <f>INDEX('[6]MATRIZ RIESGO'!$D$6:$H$10,MATCH(K456,'[6]MATRIZ RIESGO'!$C$6:$C$10,),MATCH(N456,'[6]MATRIZ RIESGO'!$D$5:$H$5,))</f>
        <v>Bajo</v>
      </c>
      <c r="Q456" s="130">
        <v>1</v>
      </c>
      <c r="R456" s="130" t="s">
        <v>729</v>
      </c>
      <c r="S456" s="178" t="s">
        <v>237</v>
      </c>
      <c r="T456" s="178" t="s">
        <v>152</v>
      </c>
      <c r="U456" s="178" t="s">
        <v>153</v>
      </c>
      <c r="V456" s="178" t="str">
        <f>IF(AND(T456=$FS$2,U456=$FT$2),"50%",IF(AND(T456=$FS$2,U456=$FT$3),"40%",IF(AND(T456=$FS$3,U456=$FT$2),"40%",IF(AND(T456=$FS$3,U456=$FT$3),"30%",IF(AND(T456=$FS$4,U456=$FT$2),"35%",IF(AND(T456=$FS$4,U456=$FT$3),"25%",""))))))</f>
        <v>40%</v>
      </c>
      <c r="W456" s="178" t="s">
        <v>154</v>
      </c>
      <c r="X456" s="178" t="s">
        <v>155</v>
      </c>
      <c r="Y456" s="178" t="s">
        <v>156</v>
      </c>
      <c r="Z456" s="131">
        <f>IFERROR(IF(S456="Probabilidad",(L456-(+L456*V456)),IF(S456="Impacto",L456,"")),"")</f>
        <v>0.12</v>
      </c>
      <c r="AA456" s="218">
        <f>LOOKUP(2,1/(Z456:Z461&lt;&gt;""),Z456:Z461)</f>
        <v>0.12</v>
      </c>
      <c r="AB456" s="218">
        <f t="shared" ref="AB456" si="223">AA456*1</f>
        <v>0.12</v>
      </c>
      <c r="AC456" s="496" t="str">
        <f t="shared" ref="AC456" si="224">IF(AND(AB456&lt;=20%),"Muy Baja",IF(AND(AB456&gt;=21%,AB456&lt;=40%),"Baja",IF(AND(AB456&gt;=41%,AB456&lt;=60%),"Media",IF(AND(AB456&gt;=61%,AB456&lt;=80%),"Alta",IF(AND(AB456&gt;=81%,AB456&gt;=100%),"Muy Alta",FALSE)))))</f>
        <v>Muy Baja</v>
      </c>
      <c r="AD456" s="182" t="str">
        <f>IFERROR(IF(S456="Impacto",(O456-(+O456*V456)),IF(S456="Probabilidad",O456,"")),"")</f>
        <v>20%</v>
      </c>
      <c r="AE456" s="218" t="str">
        <f>LOOKUP(2,1/(AD456:AD461&lt;&gt;""),AD456:AD461)</f>
        <v>20%</v>
      </c>
      <c r="AF456" s="218">
        <f>AE456*1</f>
        <v>0.2</v>
      </c>
      <c r="AG456" s="496" t="str">
        <f t="shared" ref="AG456" si="225">CHOOSE((AF456&gt;=0%)+(AF456&gt;=21%)+(AF456&gt;=41%)+(AF456&gt;=61%)+(AF456&gt;=81%),"Leve","Menor","Moderado","Mayor","Catastrófico")</f>
        <v>Leve</v>
      </c>
      <c r="AH456" s="496" t="str">
        <f>INDEX('[6]MATRIZ RIESGO'!$D$6:$H$10,MATCH(AC456,'[6]MATRIZ RIESGO'!$C$6:$C$10,),MATCH(AG456,'[6]MATRIZ RIESGO'!$D$5:$H$5,))</f>
        <v>Bajo</v>
      </c>
      <c r="AI456" s="496" t="s">
        <v>111</v>
      </c>
      <c r="AJ456" s="178"/>
      <c r="AK456" s="178"/>
      <c r="AL456" s="152"/>
      <c r="AM456" s="178"/>
      <c r="AN456" s="178"/>
      <c r="AO456" s="178"/>
      <c r="AP456" s="496" t="s">
        <v>545</v>
      </c>
      <c r="AQ456" s="539" t="s">
        <v>113</v>
      </c>
      <c r="FM456" s="89"/>
      <c r="FQ456" s="80"/>
    </row>
    <row r="457" spans="1:181" s="78" customFormat="1" ht="13.5" customHeight="1" x14ac:dyDescent="0.25">
      <c r="A457" s="200"/>
      <c r="B457" s="128" t="s">
        <v>112</v>
      </c>
      <c r="C457" s="200"/>
      <c r="D457" s="200"/>
      <c r="E457" s="200"/>
      <c r="F457" s="465"/>
      <c r="G457" s="200"/>
      <c r="H457" s="200"/>
      <c r="I457" s="210"/>
      <c r="J457" s="210"/>
      <c r="K457" s="497"/>
      <c r="L457" s="497"/>
      <c r="M457" s="497"/>
      <c r="N457" s="497"/>
      <c r="O457" s="510"/>
      <c r="P457" s="497"/>
      <c r="Q457" s="130"/>
      <c r="R457" s="130"/>
      <c r="S457" s="178"/>
      <c r="T457" s="178"/>
      <c r="U457" s="178"/>
      <c r="V457" s="178" t="str">
        <f t="shared" ref="V457:V461" si="226">IF(AND(T457=$FS$2,U457=$FT$2),"50%",IF(AND(T457=$FS$2,U457=$FT$3),"40%",IF(AND(T457=$FS$3,U457=$FT$2),"40%",IF(AND(T457=$FS$3,U457=$FT$3),"30%",IF(AND(T457=$FS$4,U457=$FT$2),"35%",IF(AND(T457=$FS$4,U457=$FT$3),"25%",""))))))</f>
        <v/>
      </c>
      <c r="W457" s="178"/>
      <c r="X457" s="178"/>
      <c r="Y457" s="178"/>
      <c r="Z457" s="131" t="str">
        <f>IFERROR(IF(AND(S456="Probabilidad",S457="Probabilidad"),(Z456-(+Z456*V457)),IF(S457="Probabilidad",(L456-(+L456*V457)),IF(S457="Impacto",Z456,""))),"")</f>
        <v/>
      </c>
      <c r="AA457" s="219"/>
      <c r="AB457" s="219"/>
      <c r="AC457" s="497"/>
      <c r="AD457" s="182" t="str">
        <f>IFERROR(IF(AND(S456="Impacto",V457="Impacto"),(AD456-(+AD456*V457)),IF(S457="Impacto",(O456-(+O456*V457)),IF(S457="Probabilidad",AD456,""))),"")</f>
        <v/>
      </c>
      <c r="AE457" s="219"/>
      <c r="AF457" s="219"/>
      <c r="AG457" s="497"/>
      <c r="AH457" s="497"/>
      <c r="AI457" s="497"/>
      <c r="AJ457" s="178"/>
      <c r="AK457" s="178"/>
      <c r="AL457" s="152"/>
      <c r="AM457" s="178"/>
      <c r="AN457" s="178"/>
      <c r="AO457" s="178"/>
      <c r="AP457" s="497"/>
      <c r="AQ457" s="537"/>
      <c r="FM457" s="89"/>
    </row>
    <row r="458" spans="1:181" s="78" customFormat="1" ht="13.5" customHeight="1" x14ac:dyDescent="0.25">
      <c r="A458" s="200"/>
      <c r="B458" s="128" t="s">
        <v>112</v>
      </c>
      <c r="C458" s="200"/>
      <c r="D458" s="200"/>
      <c r="E458" s="200"/>
      <c r="F458" s="465"/>
      <c r="G458" s="200"/>
      <c r="H458" s="200"/>
      <c r="I458" s="210"/>
      <c r="J458" s="210"/>
      <c r="K458" s="497"/>
      <c r="L458" s="497"/>
      <c r="M458" s="497"/>
      <c r="N458" s="497"/>
      <c r="O458" s="510"/>
      <c r="P458" s="497"/>
      <c r="Q458" s="130"/>
      <c r="R458" s="130"/>
      <c r="S458" s="178"/>
      <c r="T458" s="178"/>
      <c r="U458" s="178"/>
      <c r="V458" s="178" t="str">
        <f t="shared" si="226"/>
        <v/>
      </c>
      <c r="W458" s="178"/>
      <c r="X458" s="178"/>
      <c r="Y458" s="178"/>
      <c r="Z458" s="131" t="str">
        <f>IFERROR(IF(AND(S457="Probabilidad",S458="Probabilidad"),(Z457-(+Z457*V458)),IF(S458="Probabilidad",(L457-(+L457*V458)),IF(S458="Impacto",Z457,""))),"")</f>
        <v/>
      </c>
      <c r="AA458" s="219"/>
      <c r="AB458" s="219"/>
      <c r="AC458" s="497"/>
      <c r="AD458" s="182" t="str">
        <f t="shared" ref="AD458:AD461" si="227">IFERROR(IF(AND(S457="Impacto",V458="Impacto"),(AD457-(+AD457*V458)),IF(S458="Impacto",(O457-(+O457*V458)),IF(S458="Probabilidad",AD457,""))),"")</f>
        <v/>
      </c>
      <c r="AE458" s="219"/>
      <c r="AF458" s="219"/>
      <c r="AG458" s="497"/>
      <c r="AH458" s="497"/>
      <c r="AI458" s="497"/>
      <c r="AJ458" s="178"/>
      <c r="AK458" s="178"/>
      <c r="AL458" s="152"/>
      <c r="AM458" s="178"/>
      <c r="AN458" s="178"/>
      <c r="AO458" s="178"/>
      <c r="AP458" s="497"/>
      <c r="AQ458" s="537"/>
      <c r="FM458" s="89"/>
    </row>
    <row r="459" spans="1:181" s="78" customFormat="1" ht="13.5" customHeight="1" x14ac:dyDescent="0.25">
      <c r="A459" s="200"/>
      <c r="B459" s="128" t="s">
        <v>112</v>
      </c>
      <c r="C459" s="200"/>
      <c r="D459" s="200"/>
      <c r="E459" s="200"/>
      <c r="F459" s="465"/>
      <c r="G459" s="200"/>
      <c r="H459" s="200"/>
      <c r="I459" s="210"/>
      <c r="J459" s="210"/>
      <c r="K459" s="497"/>
      <c r="L459" s="497"/>
      <c r="M459" s="497"/>
      <c r="N459" s="497"/>
      <c r="O459" s="510"/>
      <c r="P459" s="497"/>
      <c r="Q459" s="130"/>
      <c r="R459" s="130"/>
      <c r="S459" s="178"/>
      <c r="T459" s="178"/>
      <c r="U459" s="178"/>
      <c r="V459" s="178" t="str">
        <f t="shared" si="226"/>
        <v/>
      </c>
      <c r="W459" s="178"/>
      <c r="X459" s="178"/>
      <c r="Y459" s="178"/>
      <c r="Z459" s="131" t="str">
        <f>IFERROR(IF(AND(S458="Probabilidad",S459="Probabilidad"),(Z458-(+Z458*V459)),IF(S459="Probabilidad",(L458-(+L458*V459)),IF(S459="Impacto",Z458,""))),"")</f>
        <v/>
      </c>
      <c r="AA459" s="219"/>
      <c r="AB459" s="219"/>
      <c r="AC459" s="497"/>
      <c r="AD459" s="182" t="str">
        <f t="shared" si="227"/>
        <v/>
      </c>
      <c r="AE459" s="219"/>
      <c r="AF459" s="219"/>
      <c r="AG459" s="497"/>
      <c r="AH459" s="497"/>
      <c r="AI459" s="497"/>
      <c r="AJ459" s="178"/>
      <c r="AK459" s="178"/>
      <c r="AL459" s="152"/>
      <c r="AM459" s="178"/>
      <c r="AN459" s="178"/>
      <c r="AO459" s="178"/>
      <c r="AP459" s="497"/>
      <c r="AQ459" s="537"/>
      <c r="FM459" s="89"/>
    </row>
    <row r="460" spans="1:181" s="78" customFormat="1" ht="13.5" customHeight="1" x14ac:dyDescent="0.25">
      <c r="A460" s="200"/>
      <c r="B460" s="128" t="s">
        <v>112</v>
      </c>
      <c r="C460" s="200"/>
      <c r="D460" s="200"/>
      <c r="E460" s="200"/>
      <c r="F460" s="465"/>
      <c r="G460" s="200"/>
      <c r="H460" s="200"/>
      <c r="I460" s="210"/>
      <c r="J460" s="210"/>
      <c r="K460" s="497"/>
      <c r="L460" s="497"/>
      <c r="M460" s="497"/>
      <c r="N460" s="497"/>
      <c r="O460" s="510"/>
      <c r="P460" s="497"/>
      <c r="Q460" s="130"/>
      <c r="R460" s="130"/>
      <c r="S460" s="178"/>
      <c r="T460" s="178"/>
      <c r="U460" s="178"/>
      <c r="V460" s="178" t="str">
        <f t="shared" si="226"/>
        <v/>
      </c>
      <c r="W460" s="178"/>
      <c r="X460" s="178"/>
      <c r="Y460" s="178"/>
      <c r="Z460" s="131" t="str">
        <f>IFERROR(IF(AND(S459="Probabilidad",S460="Probabilidad"),(Z459-(+Z459*V460)),IF(S460="Probabilidad",(L459-(+L459*V460)),IF(S460="Impacto",Z459,""))),"")</f>
        <v/>
      </c>
      <c r="AA460" s="219"/>
      <c r="AB460" s="219"/>
      <c r="AC460" s="497"/>
      <c r="AD460" s="182" t="str">
        <f t="shared" si="227"/>
        <v/>
      </c>
      <c r="AE460" s="219"/>
      <c r="AF460" s="219"/>
      <c r="AG460" s="497"/>
      <c r="AH460" s="497"/>
      <c r="AI460" s="497"/>
      <c r="AJ460" s="178"/>
      <c r="AK460" s="178"/>
      <c r="AL460" s="152"/>
      <c r="AM460" s="178"/>
      <c r="AN460" s="178"/>
      <c r="AO460" s="178"/>
      <c r="AP460" s="497"/>
      <c r="AQ460" s="537"/>
      <c r="FM460" s="89"/>
    </row>
    <row r="461" spans="1:181" s="78" customFormat="1" ht="13.5" customHeight="1" thickBot="1" x14ac:dyDescent="0.3">
      <c r="A461" s="201"/>
      <c r="B461" s="128" t="s">
        <v>112</v>
      </c>
      <c r="C461" s="201"/>
      <c r="D461" s="201"/>
      <c r="E461" s="201"/>
      <c r="F461" s="466"/>
      <c r="G461" s="201"/>
      <c r="H461" s="201"/>
      <c r="I461" s="211"/>
      <c r="J461" s="211"/>
      <c r="K461" s="498"/>
      <c r="L461" s="498"/>
      <c r="M461" s="498"/>
      <c r="N461" s="498"/>
      <c r="O461" s="511"/>
      <c r="P461" s="498"/>
      <c r="Q461" s="130"/>
      <c r="R461" s="130"/>
      <c r="S461" s="178"/>
      <c r="T461" s="178"/>
      <c r="U461" s="178"/>
      <c r="V461" s="178" t="str">
        <f t="shared" si="226"/>
        <v/>
      </c>
      <c r="W461" s="178"/>
      <c r="X461" s="178"/>
      <c r="Y461" s="178"/>
      <c r="Z461" s="131" t="str">
        <f>IFERROR(IF(AND(S460="Probabilidad",S461="Probabilidad"),(Z460-(+Z460*V461)),IF(S461="Probabilidad",(L460-(+L460*V461)),IF(S461="Impacto",Z460,""))),"")</f>
        <v/>
      </c>
      <c r="AA461" s="220"/>
      <c r="AB461" s="220"/>
      <c r="AC461" s="498"/>
      <c r="AD461" s="182" t="str">
        <f t="shared" si="227"/>
        <v/>
      </c>
      <c r="AE461" s="220"/>
      <c r="AF461" s="220"/>
      <c r="AG461" s="498"/>
      <c r="AH461" s="498"/>
      <c r="AI461" s="498"/>
      <c r="AJ461" s="178"/>
      <c r="AK461" s="178"/>
      <c r="AL461" s="152"/>
      <c r="AM461" s="178"/>
      <c r="AN461" s="178"/>
      <c r="AO461" s="178"/>
      <c r="AP461" s="498"/>
      <c r="AQ461" s="538"/>
      <c r="FM461" s="89"/>
      <c r="FQ461" s="79"/>
    </row>
    <row r="462" spans="1:181" ht="12" customHeight="1" x14ac:dyDescent="0.2">
      <c r="A462" s="567">
        <v>85</v>
      </c>
      <c r="B462" s="126" t="s">
        <v>476</v>
      </c>
      <c r="C462" s="472" t="s">
        <v>233</v>
      </c>
      <c r="D462" s="470" t="s">
        <v>472</v>
      </c>
      <c r="E462" s="470" t="s">
        <v>473</v>
      </c>
      <c r="F462" s="569" t="s">
        <v>474</v>
      </c>
      <c r="G462" s="463" t="s">
        <v>149</v>
      </c>
      <c r="H462" s="199" t="s">
        <v>267</v>
      </c>
      <c r="I462" s="506" t="s">
        <v>83</v>
      </c>
      <c r="J462" s="503">
        <v>120</v>
      </c>
      <c r="K462" s="496" t="str">
        <f>IF(AND(J462&lt;=2),"Muy Baja",IF(AND(J462&gt;=3,J462&lt;=23),"Baja",IF(AND(J462&gt;=24,J462&lt;=499),"Media",IF(AND(J462&gt;=500,J462&lt;=4999),"Alta",IF(AND(J462&gt;=5000),"Muy Alta",FALSE)))))</f>
        <v>Media</v>
      </c>
      <c r="L462" s="496" t="str">
        <f>IF(AND(J462&lt;=2),"20%",IF(AND(J462&gt;=3,J462&lt;=23),"40%",IF(AND(J462&gt;=24,J462&lt;=499),"60%",IF(AND(J462&gt;=500,J462&lt;=4999),"80%",IF(AND(J462&gt;=5000),"100%",FALSE)))))</f>
        <v>60%</v>
      </c>
      <c r="M462" s="496" t="s">
        <v>163</v>
      </c>
      <c r="N462" s="496" t="str">
        <f>IF(AND(M462=$FQ$4),"Leve",IF(AND(M462=$FQ$5),"Menor",IF(AND(M462=$FQ$6),"Moderado",IF(AND(M462=$FQ$7),"mayor",IF(AND(M462=$FQ$8),"Catastrófico",IF(AND(M462=$FQ$10),"Leve",IF(AND(M462=$FQ$11),"Menor",IF(AND(M462=$FQ$12),"Moderado",IF(AND(M462=$FQ$13),"Mayor",IF(AND(M462=$FQ$14),"Catastrófico",FALSE))))))))))</f>
        <v>Leve</v>
      </c>
      <c r="O462" s="509" t="str">
        <f>IF(AND(N462="Leve"),"20%",IF(AND(N462="Menor"),"40%",IF(AND(N462="Moderado"),"60%",IF(AND(N462="Mayor"),"80%",IF(AND(N462="Catastrófico"),"100%","")))))</f>
        <v>20%</v>
      </c>
      <c r="P462" s="496" t="str">
        <f>INDEX('[5]MATRIZ RIESGO'!$D$6:$H$10,MATCH(K462,'[5]MATRIZ RIESGO'!$C$6:$C$10,),MATCH(N462,'[5]MATRIZ RIESGO'!$D$5:$H$5,))</f>
        <v>Moderado</v>
      </c>
      <c r="Q462" s="386">
        <v>1</v>
      </c>
      <c r="R462" s="142" t="s">
        <v>475</v>
      </c>
      <c r="S462" s="173" t="s">
        <v>242</v>
      </c>
      <c r="T462" s="173" t="s">
        <v>202</v>
      </c>
      <c r="U462" s="173" t="s">
        <v>153</v>
      </c>
      <c r="V462" s="178" t="str">
        <f>IF(AND(T462=$FS$2,U462=$FT$2),"50%",IF(AND(T462=$FS$2,U462=$FT$3),"40%",IF(AND(T462=$FS$3,U462=$FT$2),"40%",IF(AND(T462=$FS$3,U462=$FT$3),"30%",IF(AND(T462=$FS$4,U462=$FT$2),"35%",IF(AND(T462=$FS$4,U462=$FT$3),"25%",""))))))</f>
        <v>30%</v>
      </c>
      <c r="W462" s="173" t="s">
        <v>154</v>
      </c>
      <c r="X462" s="173" t="s">
        <v>155</v>
      </c>
      <c r="Y462" s="173" t="s">
        <v>156</v>
      </c>
      <c r="Z462" s="131" t="str">
        <f>IFERROR(IF(S462="Probabilidad",(L462-(+L462*V462)),IF(S462="Impacto",L462,"")),"")</f>
        <v>60%</v>
      </c>
      <c r="AA462" s="218" t="str">
        <f>LOOKUP(2,1/(Z462:Z467&lt;&gt;""),Z462:Z467)</f>
        <v>60%</v>
      </c>
      <c r="AB462" s="218">
        <f t="shared" ref="AB462" si="228">AA462*1</f>
        <v>0.6</v>
      </c>
      <c r="AC462" s="496" t="str">
        <f t="shared" ref="AC462" si="229">IF(AND(AB462&lt;=20%),"Muy Baja",IF(AND(AB462&gt;=21%,AB462&lt;=40%),"Baja",IF(AND(AB462&gt;=41%,AB462&lt;=60%),"Media",IF(AND(AB462&gt;=61%,AB462&lt;=80%),"Alta",IF(AND(AB462&gt;=81%,AB462&gt;=100%),"Muy Alta",FALSE)))))</f>
        <v>Media</v>
      </c>
      <c r="AD462" s="182">
        <f>IFERROR(IF(S462="Impacto",(O462-(+O462*V462)),IF(S462="Probabilidad",O462,"")),"")</f>
        <v>0.14000000000000001</v>
      </c>
      <c r="AE462" s="218">
        <f>LOOKUP(2,1/(AD462:AD467&lt;&gt;""),AD462:AD467)</f>
        <v>0.14000000000000001</v>
      </c>
      <c r="AF462" s="218">
        <f>AE462*1</f>
        <v>0.14000000000000001</v>
      </c>
      <c r="AG462" s="496" t="str">
        <f t="shared" ref="AG462" si="230">CHOOSE((AF462&gt;=0%)+(AF462&gt;=21%)+(AF462&gt;=41%)+(AF462&gt;=61%)+(AF462&gt;=81%),"Leve","Menor","Moderado","Mayor","Catastrófico")</f>
        <v>Leve</v>
      </c>
      <c r="AH462" s="496" t="str">
        <f>INDEX('[5]MATRIZ RIESGO'!$D$6:$H$10,MATCH(AC462,'[5]MATRIZ RIESGO'!$C$6:$C$10,),MATCH(AG462,'[5]MATRIZ RIESGO'!$D$5:$H$5,))</f>
        <v>Moderado</v>
      </c>
      <c r="AI462" s="496" t="s">
        <v>77</v>
      </c>
      <c r="AJ462" s="183"/>
      <c r="AK462" s="383"/>
      <c r="AL462" s="384"/>
      <c r="AM462" s="383"/>
      <c r="AN462" s="383"/>
      <c r="AO462" s="183"/>
      <c r="AP462" s="496" t="s">
        <v>741</v>
      </c>
      <c r="AQ462" s="539" t="s">
        <v>113</v>
      </c>
    </row>
    <row r="463" spans="1:181" ht="12" customHeight="1" x14ac:dyDescent="0.2">
      <c r="A463" s="447"/>
      <c r="B463" s="126" t="s">
        <v>476</v>
      </c>
      <c r="C463" s="325"/>
      <c r="D463" s="441"/>
      <c r="E463" s="441"/>
      <c r="F463" s="524"/>
      <c r="G463" s="438"/>
      <c r="H463" s="200"/>
      <c r="I463" s="507"/>
      <c r="J463" s="504"/>
      <c r="K463" s="497"/>
      <c r="L463" s="497"/>
      <c r="M463" s="497"/>
      <c r="N463" s="497"/>
      <c r="O463" s="510"/>
      <c r="P463" s="497"/>
      <c r="Q463" s="386"/>
      <c r="R463" s="141"/>
      <c r="S463" s="173"/>
      <c r="T463" s="173"/>
      <c r="U463" s="173"/>
      <c r="V463" s="178" t="str">
        <f t="shared" ref="V463:V467" si="231">IF(AND(T463=$FS$2,U463=$FT$2),"50%",IF(AND(T463=$FS$2,U463=$FT$3),"40%",IF(AND(T463=$FS$3,U463=$FT$2),"40%",IF(AND(T463=$FS$3,U463=$FT$3),"30%",IF(AND(T463=$FS$4,U463=$FT$2),"35%",IF(AND(T463=$FS$4,U463=$FT$3),"25%",""))))))</f>
        <v/>
      </c>
      <c r="W463" s="173"/>
      <c r="X463" s="173"/>
      <c r="Y463" s="173"/>
      <c r="Z463" s="131" t="str">
        <f>IFERROR(IF(AND(S462="Probabilidad",S463="Probabilidad"),(Z462-(+Z462*V463)),IF(S463="Probabilidad",(L462-(+L462*V463)),IF(S463="Impacto",Z462,""))),"")</f>
        <v/>
      </c>
      <c r="AA463" s="219"/>
      <c r="AB463" s="219"/>
      <c r="AC463" s="497"/>
      <c r="AD463" s="182" t="str">
        <f>IFERROR(IF(AND(S462="Impacto",V463="Impacto"),(AD462-(+AD462*V463)),IF(S463="Impacto",(O462-(+O462*V463)),IF(S463="Probabilidad",AD462,""))),"")</f>
        <v/>
      </c>
      <c r="AE463" s="219"/>
      <c r="AF463" s="219"/>
      <c r="AG463" s="497"/>
      <c r="AH463" s="497"/>
      <c r="AI463" s="497"/>
      <c r="AJ463" s="183"/>
      <c r="AK463" s="383"/>
      <c r="AL463" s="384"/>
      <c r="AM463" s="383"/>
      <c r="AN463" s="383"/>
      <c r="AO463" s="183"/>
      <c r="AP463" s="497"/>
      <c r="AQ463" s="537"/>
    </row>
    <row r="464" spans="1:181" ht="12" customHeight="1" x14ac:dyDescent="0.2">
      <c r="A464" s="447"/>
      <c r="B464" s="126" t="s">
        <v>476</v>
      </c>
      <c r="C464" s="325"/>
      <c r="D464" s="441"/>
      <c r="E464" s="441"/>
      <c r="F464" s="524"/>
      <c r="G464" s="438"/>
      <c r="H464" s="200"/>
      <c r="I464" s="507"/>
      <c r="J464" s="504"/>
      <c r="K464" s="497"/>
      <c r="L464" s="497"/>
      <c r="M464" s="497"/>
      <c r="N464" s="497"/>
      <c r="O464" s="510"/>
      <c r="P464" s="497"/>
      <c r="Q464" s="386"/>
      <c r="R464" s="141"/>
      <c r="S464" s="173"/>
      <c r="T464" s="173"/>
      <c r="U464" s="173"/>
      <c r="V464" s="178" t="str">
        <f t="shared" si="231"/>
        <v/>
      </c>
      <c r="W464" s="173"/>
      <c r="X464" s="173"/>
      <c r="Y464" s="173"/>
      <c r="Z464" s="131" t="str">
        <f>IFERROR(IF(AND(S463="Probabilidad",S464="Probabilidad"),(Z463-(+Z463*V464)),IF(S464="Probabilidad",(L463-(+L463*V464)),IF(S464="Impacto",Z463,""))),"")</f>
        <v/>
      </c>
      <c r="AA464" s="219"/>
      <c r="AB464" s="219"/>
      <c r="AC464" s="497"/>
      <c r="AD464" s="182" t="str">
        <f t="shared" ref="AD464:AD467" si="232">IFERROR(IF(AND(S463="Impacto",V464="Impacto"),(AD463-(+AD463*V464)),IF(S464="Impacto",(O463-(+O463*V464)),IF(S464="Probabilidad",AD463,""))),"")</f>
        <v/>
      </c>
      <c r="AE464" s="219"/>
      <c r="AF464" s="219"/>
      <c r="AG464" s="497"/>
      <c r="AH464" s="497"/>
      <c r="AI464" s="497"/>
      <c r="AJ464" s="183"/>
      <c r="AK464" s="383"/>
      <c r="AL464" s="384"/>
      <c r="AM464" s="383"/>
      <c r="AN464" s="383"/>
      <c r="AO464" s="183"/>
      <c r="AP464" s="497"/>
      <c r="AQ464" s="537"/>
    </row>
    <row r="465" spans="1:181" ht="12" customHeight="1" x14ac:dyDescent="0.2">
      <c r="A465" s="447"/>
      <c r="B465" s="126" t="s">
        <v>476</v>
      </c>
      <c r="C465" s="325"/>
      <c r="D465" s="441"/>
      <c r="E465" s="441"/>
      <c r="F465" s="524"/>
      <c r="G465" s="438"/>
      <c r="H465" s="200"/>
      <c r="I465" s="507"/>
      <c r="J465" s="504"/>
      <c r="K465" s="497"/>
      <c r="L465" s="497"/>
      <c r="M465" s="497"/>
      <c r="N465" s="497"/>
      <c r="O465" s="510"/>
      <c r="P465" s="497"/>
      <c r="Q465" s="386"/>
      <c r="R465" s="141"/>
      <c r="S465" s="173"/>
      <c r="T465" s="173"/>
      <c r="U465" s="173"/>
      <c r="V465" s="178" t="str">
        <f t="shared" si="231"/>
        <v/>
      </c>
      <c r="W465" s="173"/>
      <c r="X465" s="173"/>
      <c r="Y465" s="173"/>
      <c r="Z465" s="131" t="str">
        <f>IFERROR(IF(AND(S464="Probabilidad",S465="Probabilidad"),(Z464-(+Z464*V465)),IF(S465="Probabilidad",(L464-(+L464*V465)),IF(S465="Impacto",Z464,""))),"")</f>
        <v/>
      </c>
      <c r="AA465" s="219"/>
      <c r="AB465" s="219"/>
      <c r="AC465" s="497"/>
      <c r="AD465" s="182" t="str">
        <f t="shared" si="232"/>
        <v/>
      </c>
      <c r="AE465" s="219"/>
      <c r="AF465" s="219"/>
      <c r="AG465" s="497"/>
      <c r="AH465" s="497"/>
      <c r="AI465" s="497"/>
      <c r="AJ465" s="183"/>
      <c r="AK465" s="383"/>
      <c r="AL465" s="384"/>
      <c r="AM465" s="383"/>
      <c r="AN465" s="383"/>
      <c r="AO465" s="183"/>
      <c r="AP465" s="497"/>
      <c r="AQ465" s="537"/>
    </row>
    <row r="466" spans="1:181" ht="12" customHeight="1" x14ac:dyDescent="0.2">
      <c r="A466" s="447"/>
      <c r="B466" s="126" t="s">
        <v>476</v>
      </c>
      <c r="C466" s="325"/>
      <c r="D466" s="441"/>
      <c r="E466" s="441"/>
      <c r="F466" s="524"/>
      <c r="G466" s="438"/>
      <c r="H466" s="200"/>
      <c r="I466" s="507"/>
      <c r="J466" s="504"/>
      <c r="K466" s="497"/>
      <c r="L466" s="497"/>
      <c r="M466" s="497"/>
      <c r="N466" s="497"/>
      <c r="O466" s="510"/>
      <c r="P466" s="497"/>
      <c r="Q466" s="386"/>
      <c r="R466" s="141"/>
      <c r="S466" s="173"/>
      <c r="T466" s="173"/>
      <c r="U466" s="173"/>
      <c r="V466" s="178" t="str">
        <f t="shared" si="231"/>
        <v/>
      </c>
      <c r="W466" s="173"/>
      <c r="X466" s="173"/>
      <c r="Y466" s="173"/>
      <c r="Z466" s="131" t="str">
        <f>IFERROR(IF(AND(S465="Probabilidad",S466="Probabilidad"),(Z465-(+Z465*V466)),IF(S466="Probabilidad",(L465-(+L465*V466)),IF(S466="Impacto",Z465,""))),"")</f>
        <v/>
      </c>
      <c r="AA466" s="219"/>
      <c r="AB466" s="219"/>
      <c r="AC466" s="497"/>
      <c r="AD466" s="182" t="str">
        <f t="shared" si="232"/>
        <v/>
      </c>
      <c r="AE466" s="219"/>
      <c r="AF466" s="219"/>
      <c r="AG466" s="497"/>
      <c r="AH466" s="497"/>
      <c r="AI466" s="497"/>
      <c r="AJ466" s="183"/>
      <c r="AK466" s="383"/>
      <c r="AL466" s="384"/>
      <c r="AM466" s="383"/>
      <c r="AN466" s="383"/>
      <c r="AO466" s="183"/>
      <c r="AP466" s="497"/>
      <c r="AQ466" s="537"/>
    </row>
    <row r="467" spans="1:181" ht="12" customHeight="1" x14ac:dyDescent="0.2">
      <c r="A467" s="460"/>
      <c r="B467" s="126" t="s">
        <v>476</v>
      </c>
      <c r="C467" s="459"/>
      <c r="D467" s="458"/>
      <c r="E467" s="458"/>
      <c r="F467" s="525"/>
      <c r="G467" s="457"/>
      <c r="H467" s="201"/>
      <c r="I467" s="508"/>
      <c r="J467" s="505"/>
      <c r="K467" s="498"/>
      <c r="L467" s="498"/>
      <c r="M467" s="498"/>
      <c r="N467" s="498"/>
      <c r="O467" s="511"/>
      <c r="P467" s="498"/>
      <c r="Q467" s="386"/>
      <c r="R467" s="141"/>
      <c r="S467" s="173"/>
      <c r="T467" s="173"/>
      <c r="U467" s="173"/>
      <c r="V467" s="178" t="str">
        <f t="shared" si="231"/>
        <v/>
      </c>
      <c r="W467" s="173"/>
      <c r="X467" s="173"/>
      <c r="Y467" s="173"/>
      <c r="Z467" s="131" t="str">
        <f>IFERROR(IF(AND(S466="Probabilidad",S467="Probabilidad"),(Z466-(+Z466*V467)),IF(S467="Probabilidad",(L466-(+L466*V467)),IF(S467="Impacto",Z466,""))),"")</f>
        <v/>
      </c>
      <c r="AA467" s="220"/>
      <c r="AB467" s="220"/>
      <c r="AC467" s="498"/>
      <c r="AD467" s="182" t="str">
        <f t="shared" si="232"/>
        <v/>
      </c>
      <c r="AE467" s="220"/>
      <c r="AF467" s="220"/>
      <c r="AG467" s="498"/>
      <c r="AH467" s="498"/>
      <c r="AI467" s="498"/>
      <c r="AJ467" s="183"/>
      <c r="AK467" s="383"/>
      <c r="AL467" s="384"/>
      <c r="AM467" s="383"/>
      <c r="AN467" s="383"/>
      <c r="AO467" s="183"/>
      <c r="AP467" s="498"/>
      <c r="AQ467" s="538"/>
    </row>
    <row r="468" spans="1:181" s="78" customFormat="1" ht="14.25" customHeight="1" x14ac:dyDescent="0.25">
      <c r="A468" s="446">
        <v>86</v>
      </c>
      <c r="B468" s="126" t="s">
        <v>115</v>
      </c>
      <c r="C468" s="444" t="s">
        <v>233</v>
      </c>
      <c r="D468" s="444" t="s">
        <v>834</v>
      </c>
      <c r="E468" s="444" t="s">
        <v>766</v>
      </c>
      <c r="F468" s="626" t="s">
        <v>835</v>
      </c>
      <c r="G468" s="437" t="s">
        <v>167</v>
      </c>
      <c r="H468" s="199" t="s">
        <v>255</v>
      </c>
      <c r="I468" s="527" t="s">
        <v>151</v>
      </c>
      <c r="J468" s="526"/>
      <c r="K468" s="496" t="str">
        <f>IF(AND(J468&lt;=2),"Muy Baja",IF(AND(J468&gt;=3,J468&lt;=23),"Baja",IF(AND(J468&gt;=24,J468&lt;=499),"Media",IF(AND(J468&gt;=500,J468&lt;=4999),"Alta",IF(AND(J468&gt;=5000),"Muy Alta",FALSE)))))</f>
        <v>Muy Baja</v>
      </c>
      <c r="L468" s="496" t="str">
        <f>IF(AND(J468&lt;=2),"20%",IF(AND(J468&gt;=3,J468&lt;=23),"40%",IF(AND(J468&gt;=24,J468&lt;=499),"60%",IF(AND(J468&gt;=500,J468&lt;=4999),"80%",IF(AND(J468&gt;=5000),"100%",FALSE)))))</f>
        <v>20%</v>
      </c>
      <c r="M468" s="496" t="s">
        <v>235</v>
      </c>
      <c r="N468" s="496" t="str">
        <f>IF(AND(M468=$FQ$4),"Leve",IF(AND(M468=$FQ$5),"Menor",IF(AND(M468=$FQ$6),"Moderado",IF(AND(M468=$FQ$7),"mayor",IF(AND(M468=$FQ$8),"Catastrófico",IF(AND(M468=$FQ$10),"Leve",IF(AND(M468=$FQ$11),"Menor",IF(AND(M468=$FQ$12),"Moderado",IF(AND(M468=$FQ$13),"Mayor",IF(AND(M468=$FQ$14),"Catastrófico",FALSE))))))))))</f>
        <v>Catastrófico</v>
      </c>
      <c r="O468" s="509" t="str">
        <f>IF(AND(N468="Leve"),"20%",IF(AND(N468="Menor"),"40%",IF(AND(N468="Moderado"),"60%",IF(AND(N468="Mayor"),"80%",IF(AND(N468="Catastrófico"),"100%","")))))</f>
        <v>100%</v>
      </c>
      <c r="P468" s="496" t="str">
        <f>INDEX('[29]MATRIZ RIESGO'!$D$6:$H$10,MATCH(K468,'[29]MATRIZ RIESGO'!$C$6:$C$10,),MATCH(N468,'[29]MATRIZ RIESGO'!$D$5:$H$5,))</f>
        <v>Extremo</v>
      </c>
      <c r="Q468" s="572">
        <v>1</v>
      </c>
      <c r="R468" s="130" t="s">
        <v>767</v>
      </c>
      <c r="S468" s="178" t="s">
        <v>237</v>
      </c>
      <c r="T468" s="178" t="s">
        <v>152</v>
      </c>
      <c r="U468" s="178" t="s">
        <v>153</v>
      </c>
      <c r="V468" s="178" t="str">
        <f>IF(AND(T468=$FS$2,U468=$FT$2),"50%",IF(AND(T468=$FS$2,U468=$FT$3),"40%",IF(AND(T468=$FS$3,U468=$FT$2),"40%",IF(AND(T468=$FS$3,U468=$FT$3),"30%",IF(AND(T468=$FS$4,U468=$FT$2),"35%",IF(AND(T468=$FS$4,U468=$FT$3),"25%",""))))))</f>
        <v>40%</v>
      </c>
      <c r="W468" s="178" t="s">
        <v>154</v>
      </c>
      <c r="X468" s="178" t="s">
        <v>155</v>
      </c>
      <c r="Y468" s="178" t="s">
        <v>165</v>
      </c>
      <c r="Z468" s="131">
        <f>IFERROR(IF(S468="Probabilidad",(L468-(+L468*V468)),IF(S468="Impacto",L468,"")),"")</f>
        <v>0.12</v>
      </c>
      <c r="AA468" s="218">
        <f>LOOKUP(2,1/(Z468:Z473&lt;&gt;""),Z468:Z473)</f>
        <v>4.3199999999999995E-2</v>
      </c>
      <c r="AB468" s="218">
        <f t="shared" ref="AB468" si="233">AA468*1</f>
        <v>4.3199999999999995E-2</v>
      </c>
      <c r="AC468" s="496" t="str">
        <f t="shared" ref="AC468" si="234">IF(AND(AB468&lt;=20%),"Muy Baja",IF(AND(AB468&gt;=21%,AB468&lt;=40%),"Baja",IF(AND(AB468&gt;=41%,AB468&lt;=60%),"Media",IF(AND(AB468&gt;=61%,AB468&lt;=80%),"Alta",IF(AND(AB468&gt;=81%,AB468&gt;=100%),"Muy Alta",FALSE)))))</f>
        <v>Muy Baja</v>
      </c>
      <c r="AD468" s="182" t="str">
        <f>IFERROR(IF(S468="Impacto",(O468-(+O468*V468)),IF(S468="Probabilidad",O468,"")),"")</f>
        <v>100%</v>
      </c>
      <c r="AE468" s="218" t="str">
        <f>LOOKUP(2,1/(AD468:AD473&lt;&gt;""),AD468:AD473)</f>
        <v>100%</v>
      </c>
      <c r="AF468" s="218">
        <f>AE468*1</f>
        <v>1</v>
      </c>
      <c r="AG468" s="496" t="str">
        <f t="shared" ref="AG468" si="235">CHOOSE((AF468&gt;=0%)+(AF468&gt;=21%)+(AF468&gt;=41%)+(AF468&gt;=61%)+(AF468&gt;=81%),"Leve","Menor","Moderado","Mayor","Catastrófico")</f>
        <v>Catastrófico</v>
      </c>
      <c r="AH468" s="496" t="str">
        <f>INDEX('[29]MATRIZ RIESGO'!$D$6:$H$10,MATCH(AC468,'[29]MATRIZ RIESGO'!$C$6:$C$10,),MATCH(AG468,'[29]MATRIZ RIESGO'!$D$5:$H$5,))</f>
        <v>Extremo</v>
      </c>
      <c r="AI468" s="496" t="s">
        <v>77</v>
      </c>
      <c r="AJ468" s="172"/>
      <c r="AK468" s="172"/>
      <c r="AL468" s="163"/>
      <c r="AM468" s="172"/>
      <c r="AN468" s="172"/>
      <c r="AO468" s="172"/>
      <c r="AP468" s="496"/>
      <c r="AQ468" s="539" t="s">
        <v>113</v>
      </c>
      <c r="FM468" s="89"/>
      <c r="FQ468" s="80"/>
    </row>
    <row r="469" spans="1:181" s="78" customFormat="1" ht="14.25" customHeight="1" x14ac:dyDescent="0.25">
      <c r="A469" s="447"/>
      <c r="B469" s="126" t="s">
        <v>115</v>
      </c>
      <c r="C469" s="325"/>
      <c r="D469" s="325"/>
      <c r="E469" s="325"/>
      <c r="F469" s="627"/>
      <c r="G469" s="438"/>
      <c r="H469" s="200"/>
      <c r="I469" s="507"/>
      <c r="J469" s="504"/>
      <c r="K469" s="497"/>
      <c r="L469" s="497"/>
      <c r="M469" s="497"/>
      <c r="N469" s="497"/>
      <c r="O469" s="510"/>
      <c r="P469" s="497"/>
      <c r="Q469" s="572">
        <v>2</v>
      </c>
      <c r="R469" s="130" t="s">
        <v>836</v>
      </c>
      <c r="S469" s="178" t="s">
        <v>237</v>
      </c>
      <c r="T469" s="178" t="s">
        <v>152</v>
      </c>
      <c r="U469" s="178" t="s">
        <v>153</v>
      </c>
      <c r="V469" s="178" t="str">
        <f>IF(AND(T469=$FS$2,U469=$FT$2),"50%",IF(AND(T469=$FS$2,U469=$FT$3),"40%",IF(AND(T469=$FS$3,U469=$FT$2),"40%",IF(AND(T469=$FS$3,U469=$FT$3),"30%",IF(AND(T469=$FS$4,U469=$FT$2),"35%",IF(AND(T469=$FS$4,U469=$FT$3),"25%",""))))))</f>
        <v>40%</v>
      </c>
      <c r="W469" s="178" t="s">
        <v>154</v>
      </c>
      <c r="X469" s="178" t="s">
        <v>155</v>
      </c>
      <c r="Y469" s="178" t="s">
        <v>156</v>
      </c>
      <c r="Z469" s="131">
        <f>IFERROR(IF(AND(S468="Probabilidad",S469="Probabilidad"),(Z468-(+Z468*V469)),IF(S469="Probabilidad",(L468-(+L468*V469)),IF(S469="Impacto",Z468,""))),"")</f>
        <v>7.1999999999999995E-2</v>
      </c>
      <c r="AA469" s="219"/>
      <c r="AB469" s="219"/>
      <c r="AC469" s="497"/>
      <c r="AD469" s="182" t="str">
        <f>IFERROR(IF(AND(S468="Impacto",#REF!="Impacto"),(AD468-(+AD468*#REF!)),IF(#REF!="Impacto",(O468-(+O468*#REF!)),IF(#REF!="Probabilidad",AD468,""))),"")</f>
        <v/>
      </c>
      <c r="AE469" s="219"/>
      <c r="AF469" s="219"/>
      <c r="AG469" s="497"/>
      <c r="AH469" s="497"/>
      <c r="AI469" s="497"/>
      <c r="AJ469" s="172"/>
      <c r="AK469" s="172"/>
      <c r="AL469" s="163"/>
      <c r="AM469" s="172"/>
      <c r="AN469" s="172"/>
      <c r="AO469" s="172"/>
      <c r="AP469" s="497"/>
      <c r="AQ469" s="537"/>
      <c r="FM469" s="89"/>
    </row>
    <row r="470" spans="1:181" s="78" customFormat="1" ht="14.25" customHeight="1" x14ac:dyDescent="0.25">
      <c r="A470" s="447"/>
      <c r="B470" s="126" t="s">
        <v>115</v>
      </c>
      <c r="C470" s="325"/>
      <c r="D470" s="325"/>
      <c r="E470" s="325"/>
      <c r="F470" s="627"/>
      <c r="G470" s="438"/>
      <c r="H470" s="200"/>
      <c r="I470" s="507"/>
      <c r="J470" s="504"/>
      <c r="K470" s="497"/>
      <c r="L470" s="497"/>
      <c r="M470" s="497"/>
      <c r="N470" s="497"/>
      <c r="O470" s="510"/>
      <c r="P470" s="497"/>
      <c r="Q470" s="572">
        <v>3</v>
      </c>
      <c r="R470" s="130" t="s">
        <v>837</v>
      </c>
      <c r="S470" s="178" t="s">
        <v>237</v>
      </c>
      <c r="T470" s="178" t="s">
        <v>152</v>
      </c>
      <c r="U470" s="178" t="s">
        <v>153</v>
      </c>
      <c r="V470" s="178" t="str">
        <f>IF(AND(T470=$FS$2,U470=$FT$2),"50%",IF(AND(T470=$FS$2,U470=$FT$3),"40%",IF(AND(T470=$FS$3,U470=$FT$2),"40%",IF(AND(T470=$FS$3,U470=$FT$3),"30%",IF(AND(T470=$FS$4,U470=$FT$2),"35%",IF(AND(T470=$FS$4,U470=$FT$3),"25%",""))))))</f>
        <v>40%</v>
      </c>
      <c r="W470" s="178" t="s">
        <v>154</v>
      </c>
      <c r="X470" s="178" t="s">
        <v>164</v>
      </c>
      <c r="Y470" s="178" t="s">
        <v>156</v>
      </c>
      <c r="Z470" s="131">
        <f>IFERROR(IF(AND(S469="Probabilidad",S470="Probabilidad"),(Z469-(+Z469*V470)),IF(S470="Probabilidad",(L469-(+L469*V470)),IF(S470="Impacto",Z469,""))),"")</f>
        <v>4.3199999999999995E-2</v>
      </c>
      <c r="AA470" s="219"/>
      <c r="AB470" s="219"/>
      <c r="AC470" s="497"/>
      <c r="AD470" s="182" t="str">
        <f>IFERROR(IF(AND(#REF!="Impacto",#REF!="Impacto"),(AD469-(+AD469*#REF!)),IF(#REF!="Impacto",(O469-(+O469*#REF!)),IF(#REF!="Probabilidad",AD469,""))),"")</f>
        <v/>
      </c>
      <c r="AE470" s="219"/>
      <c r="AF470" s="219"/>
      <c r="AG470" s="497"/>
      <c r="AH470" s="497"/>
      <c r="AI470" s="497"/>
      <c r="AJ470" s="172"/>
      <c r="AK470" s="172"/>
      <c r="AL470" s="163"/>
      <c r="AM470" s="172"/>
      <c r="AN470" s="172"/>
      <c r="AO470" s="172"/>
      <c r="AP470" s="497"/>
      <c r="AQ470" s="537"/>
      <c r="FM470" s="89"/>
    </row>
    <row r="471" spans="1:181" s="78" customFormat="1" ht="14.25" customHeight="1" x14ac:dyDescent="0.25">
      <c r="A471" s="447"/>
      <c r="B471" s="126" t="s">
        <v>115</v>
      </c>
      <c r="C471" s="325"/>
      <c r="D471" s="325"/>
      <c r="E471" s="325"/>
      <c r="F471" s="627"/>
      <c r="G471" s="438"/>
      <c r="H471" s="200"/>
      <c r="I471" s="507"/>
      <c r="J471" s="504"/>
      <c r="K471" s="497"/>
      <c r="L471" s="497"/>
      <c r="M471" s="497"/>
      <c r="N471" s="497"/>
      <c r="O471" s="510"/>
      <c r="P471" s="497"/>
      <c r="Q471" s="572"/>
      <c r="R471" s="133"/>
      <c r="S471" s="178"/>
      <c r="T471" s="178"/>
      <c r="U471" s="178"/>
      <c r="V471" s="178"/>
      <c r="W471" s="178"/>
      <c r="X471" s="178"/>
      <c r="Y471" s="178"/>
      <c r="Z471" s="131" t="str">
        <f>IFERROR(IF(AND(S470="Probabilidad",S471="Probabilidad"),(Z470-(+Z470*V471)),IF(S471="Probabilidad",(L470-(+L470*V471)),IF(S471="Impacto",Z470,""))),"")</f>
        <v/>
      </c>
      <c r="AA471" s="219"/>
      <c r="AB471" s="219"/>
      <c r="AC471" s="497"/>
      <c r="AD471" s="182" t="str">
        <f>IFERROR(IF(AND(#REF!="Impacto",#REF!="Impacto"),(AD470-(+AD470*#REF!)),IF(#REF!="Impacto",(O470-(+O470*#REF!)),IF(#REF!="Probabilidad",AD470,""))),"")</f>
        <v/>
      </c>
      <c r="AE471" s="219"/>
      <c r="AF471" s="219"/>
      <c r="AG471" s="497"/>
      <c r="AH471" s="497"/>
      <c r="AI471" s="497"/>
      <c r="AJ471" s="172"/>
      <c r="AK471" s="172"/>
      <c r="AL471" s="163"/>
      <c r="AM471" s="172"/>
      <c r="AN471" s="172"/>
      <c r="AO471" s="172"/>
      <c r="AP471" s="497"/>
      <c r="AQ471" s="537"/>
      <c r="FM471" s="89"/>
    </row>
    <row r="472" spans="1:181" s="78" customFormat="1" ht="14.25" customHeight="1" x14ac:dyDescent="0.25">
      <c r="A472" s="447"/>
      <c r="B472" s="126" t="s">
        <v>115</v>
      </c>
      <c r="C472" s="325"/>
      <c r="D472" s="325"/>
      <c r="E472" s="325"/>
      <c r="F472" s="627"/>
      <c r="G472" s="438"/>
      <c r="H472" s="200"/>
      <c r="I472" s="507"/>
      <c r="J472" s="504"/>
      <c r="K472" s="497"/>
      <c r="L472" s="497"/>
      <c r="M472" s="497"/>
      <c r="N472" s="497"/>
      <c r="O472" s="510"/>
      <c r="P472" s="497"/>
      <c r="Q472" s="572"/>
      <c r="R472" s="133"/>
      <c r="S472" s="178"/>
      <c r="T472" s="178"/>
      <c r="U472" s="178"/>
      <c r="V472" s="178" t="str">
        <f t="shared" ref="V472:V473" si="236">IF(AND(T472=$FS$2,U472=$FT$2),"50%",IF(AND(T472=$FS$2,U472=$FT$3),"40%",IF(AND(T472=$FS$3,U472=$FT$2),"40%",IF(AND(T472=$FS$3,U472=$FT$3),"30%",IF(AND(T472=$FS$4,U472=$FT$2),"35%",IF(AND(T472=$FS$4,U472=$FT$3),"25%",""))))))</f>
        <v/>
      </c>
      <c r="W472" s="178"/>
      <c r="X472" s="178"/>
      <c r="Y472" s="178"/>
      <c r="Z472" s="131" t="str">
        <f>IFERROR(IF(AND(S471="Probabilidad",S472="Probabilidad"),(Z471-(+Z471*V472)),IF(S472="Probabilidad",(L471-(+L471*V472)),IF(S472="Impacto",Z471,""))),"")</f>
        <v/>
      </c>
      <c r="AA472" s="219"/>
      <c r="AB472" s="219"/>
      <c r="AC472" s="497"/>
      <c r="AD472" s="182" t="str">
        <f>IFERROR(IF(AND(#REF!="Impacto",V472="Impacto"),(AD471-(+AD471*V472)),IF(S472="Impacto",(O471-(+O471*V472)),IF(S472="Probabilidad",AD471,""))),"")</f>
        <v/>
      </c>
      <c r="AE472" s="219"/>
      <c r="AF472" s="219"/>
      <c r="AG472" s="497"/>
      <c r="AH472" s="497"/>
      <c r="AI472" s="497"/>
      <c r="AJ472" s="172"/>
      <c r="AK472" s="172"/>
      <c r="AL472" s="163"/>
      <c r="AM472" s="172"/>
      <c r="AN472" s="172"/>
      <c r="AO472" s="172"/>
      <c r="AP472" s="497"/>
      <c r="AQ472" s="537"/>
      <c r="FM472" s="89"/>
    </row>
    <row r="473" spans="1:181" s="78" customFormat="1" ht="14.25" customHeight="1" x14ac:dyDescent="0.2">
      <c r="A473" s="460"/>
      <c r="B473" s="126" t="s">
        <v>115</v>
      </c>
      <c r="C473" s="459"/>
      <c r="D473" s="459"/>
      <c r="E473" s="459"/>
      <c r="F473" s="628"/>
      <c r="G473" s="457"/>
      <c r="H473" s="201"/>
      <c r="I473" s="508"/>
      <c r="J473" s="505"/>
      <c r="K473" s="498"/>
      <c r="L473" s="498"/>
      <c r="M473" s="498"/>
      <c r="N473" s="498"/>
      <c r="O473" s="511"/>
      <c r="P473" s="498"/>
      <c r="Q473" s="572"/>
      <c r="R473" s="133"/>
      <c r="S473" s="178"/>
      <c r="T473" s="178"/>
      <c r="U473" s="178"/>
      <c r="V473" s="178" t="str">
        <f t="shared" si="236"/>
        <v/>
      </c>
      <c r="W473" s="178"/>
      <c r="X473" s="178"/>
      <c r="Y473" s="178"/>
      <c r="Z473" s="131" t="str">
        <f>IFERROR(IF(AND(S472="Probabilidad",S473="Probabilidad"),(Z472-(+Z472*V473)),IF(S473="Probabilidad",(L472-(+L472*V473)),IF(S473="Impacto",Z472,""))),"")</f>
        <v/>
      </c>
      <c r="AA473" s="220"/>
      <c r="AB473" s="220"/>
      <c r="AC473" s="498"/>
      <c r="AD473" s="182" t="str">
        <f t="shared" ref="AD473" si="237">IFERROR(IF(AND(S472="Impacto",V473="Impacto"),(AD472-(+AD472*V473)),IF(S473="Impacto",(O472-(+O472*V473)),IF(S473="Probabilidad",AD472,""))),"")</f>
        <v/>
      </c>
      <c r="AE473" s="220"/>
      <c r="AF473" s="220"/>
      <c r="AG473" s="498"/>
      <c r="AH473" s="498"/>
      <c r="AI473" s="498"/>
      <c r="AJ473" s="172"/>
      <c r="AK473" s="172"/>
      <c r="AL473" s="163"/>
      <c r="AM473" s="172"/>
      <c r="AN473" s="172"/>
      <c r="AO473" s="172"/>
      <c r="AP473" s="498"/>
      <c r="AQ473" s="538"/>
      <c r="FM473" s="90"/>
      <c r="FN473" s="87"/>
      <c r="FO473" s="87"/>
      <c r="FP473" s="87"/>
      <c r="FQ473" s="87"/>
      <c r="FR473" s="87"/>
      <c r="FS473" s="87"/>
      <c r="FT473" s="87"/>
      <c r="FU473" s="87"/>
      <c r="FV473" s="87"/>
      <c r="FW473" s="87"/>
      <c r="FX473" s="87"/>
      <c r="FY473" s="87"/>
    </row>
    <row r="474" spans="1:181" ht="9.75" customHeight="1" x14ac:dyDescent="0.2">
      <c r="A474" s="629">
        <v>87</v>
      </c>
      <c r="B474" s="126" t="s">
        <v>115</v>
      </c>
      <c r="C474" s="444" t="s">
        <v>233</v>
      </c>
      <c r="D474" s="630" t="s">
        <v>838</v>
      </c>
      <c r="E474" s="631" t="s">
        <v>839</v>
      </c>
      <c r="F474" s="440" t="s">
        <v>840</v>
      </c>
      <c r="G474" s="437" t="s">
        <v>149</v>
      </c>
      <c r="H474" s="199" t="s">
        <v>270</v>
      </c>
      <c r="I474" s="527" t="s">
        <v>151</v>
      </c>
      <c r="J474" s="526">
        <v>360</v>
      </c>
      <c r="K474" s="496" t="str">
        <f>IF(AND(J474&lt;=2),"Muy Baja",IF(AND(J474&gt;=3,J474&lt;=23),"Baja",IF(AND(J474&gt;=24,J474&lt;=499),"Media",IF(AND(J474&gt;=500,J474&lt;=4999),"Alta",IF(AND(J474&gt;=5000),"Muy Alta",FALSE)))))</f>
        <v>Media</v>
      </c>
      <c r="L474" s="496" t="str">
        <f>IF(AND(J474&lt;=2),"20%",IF(AND(J474&gt;=3,J474&lt;=23),"40%",IF(AND(J474&gt;=24,J474&lt;=499),"60%",IF(AND(J474&gt;=500,J474&lt;=4999),"80%",IF(AND(J474&gt;=5000),"100%",FALSE)))))</f>
        <v>60%</v>
      </c>
      <c r="M474" s="496" t="s">
        <v>186</v>
      </c>
      <c r="N474" s="496" t="str">
        <f>IF(AND(M474=$FQ$4),"Leve",IF(AND(M474=$FQ$5),"Menor",IF(AND(M474=$FQ$6),"Moderado",IF(AND(M474=$FQ$7),"mayor",IF(AND(M474=$FQ$8),"Catastrófico",IF(AND(M474=$FQ$10),"Leve",IF(AND(M474=$FQ$11),"Menor",IF(AND(M474=$FQ$12),"Moderado",IF(AND(M474=$FQ$13),"Mayor",IF(AND(M474=$FQ$14),"Catastrófico",FALSE))))))))))</f>
        <v>Moderado</v>
      </c>
      <c r="O474" s="509" t="str">
        <f>IF(AND(N474="Leve"),"20%",IF(AND(N474="Menor"),"40%",IF(AND(N474="Moderado"),"60%",IF(AND(N474="Mayor"),"80%",IF(AND(N474="Catastrófico"),"100%","")))))</f>
        <v>60%</v>
      </c>
      <c r="P474" s="496" t="str">
        <f>INDEX('[30]MATRIZ RIESGO'!$D$6:$H$10,MATCH(K474,'[30]MATRIZ RIESGO'!$C$6:$C$10,),MATCH(N474,'[30]MATRIZ RIESGO'!$D$5:$H$5,))</f>
        <v>Moderado</v>
      </c>
      <c r="Q474" s="572">
        <v>1</v>
      </c>
      <c r="R474" s="130" t="s">
        <v>841</v>
      </c>
      <c r="S474" s="178" t="s">
        <v>237</v>
      </c>
      <c r="T474" s="178" t="s">
        <v>152</v>
      </c>
      <c r="U474" s="178" t="s">
        <v>153</v>
      </c>
      <c r="V474" s="178" t="str">
        <f>IF(AND(T474=$FS$2,U474=$FT$2),"50%",IF(AND(T474=$FS$2,U474=$FT$3),"40%",IF(AND(T474=$FS$3,U474=$FT$2),"40%",IF(AND(T474=$FS$3,U474=$FT$3),"30%",IF(AND(T474=$FS$4,U474=$FT$2),"35%",IF(AND(T474=$FS$4,U474=$FT$3),"25%",""))))))</f>
        <v>40%</v>
      </c>
      <c r="W474" s="178" t="s">
        <v>161</v>
      </c>
      <c r="X474" s="178" t="s">
        <v>155</v>
      </c>
      <c r="Y474" s="178" t="s">
        <v>156</v>
      </c>
      <c r="Z474" s="131">
        <f>IFERROR(IF(S474="Probabilidad",(L474-(+L474*V474)),IF(S474="Impacto",L474,"")),"")</f>
        <v>0.36</v>
      </c>
      <c r="AA474" s="218">
        <f>LOOKUP(2,1/(Z474:Z479&lt;&gt;""),Z474:Z479)</f>
        <v>0.36</v>
      </c>
      <c r="AC474" s="496" t="str">
        <f t="shared" ref="AC474" si="238">IF(AND(AB474&lt;=20%),"Muy Baja",IF(AND(AB474&gt;=21%,AB474&lt;=40%),"Baja",IF(AND(AB474&gt;=41%,AB474&lt;=60%),"Media",IF(AND(AB474&gt;=61%,AB474&lt;=80%),"Alta",IF(AND(AB474&gt;=81%,AB474&gt;=100%),"Muy Alta",FALSE)))))</f>
        <v>Muy Baja</v>
      </c>
      <c r="AD474" s="182" t="str">
        <f>IFERROR(IF(S474="Impacto",(O474-(+O474*V474)),IF(S474="Probabilidad",O474,"")),"")</f>
        <v>60%</v>
      </c>
      <c r="AE474" s="218" t="str">
        <f>LOOKUP(2,1/(AD474:AD479&lt;&gt;""),AD474:AD479)</f>
        <v>60%</v>
      </c>
      <c r="AG474" s="496" t="str">
        <f t="shared" ref="AG474" si="239">CHOOSE((AF474&gt;=0%)+(AF474&gt;=21%)+(AF474&gt;=41%)+(AF474&gt;=61%)+(AF474&gt;=81%),"Leve","Menor","Moderado","Mayor","Catastrófico")</f>
        <v>Leve</v>
      </c>
      <c r="AH474" s="496" t="str">
        <f>INDEX('[29]MATRIZ RIESGO'!$D$6:$H$10,MATCH(AC474,'[29]MATRIZ RIESGO'!$C$6:$C$10,),MATCH(AG474,'[29]MATRIZ RIESGO'!$D$5:$H$5,))</f>
        <v>Bajo</v>
      </c>
      <c r="AI474" s="496" t="s">
        <v>111</v>
      </c>
      <c r="AJ474" s="172"/>
      <c r="AK474" s="172"/>
      <c r="AL474" s="163"/>
      <c r="AM474" s="172"/>
      <c r="AN474" s="172"/>
      <c r="AO474" s="172"/>
      <c r="AP474" s="496"/>
      <c r="AQ474" s="539" t="s">
        <v>113</v>
      </c>
    </row>
    <row r="475" spans="1:181" ht="9.75" customHeight="1" x14ac:dyDescent="0.2">
      <c r="A475" s="632"/>
      <c r="B475" s="126" t="s">
        <v>115</v>
      </c>
      <c r="C475" s="325"/>
      <c r="D475" s="633"/>
      <c r="E475" s="634"/>
      <c r="F475" s="441"/>
      <c r="G475" s="438"/>
      <c r="H475" s="200"/>
      <c r="I475" s="507"/>
      <c r="J475" s="504"/>
      <c r="K475" s="497"/>
      <c r="L475" s="497"/>
      <c r="M475" s="497"/>
      <c r="N475" s="497"/>
      <c r="O475" s="510"/>
      <c r="P475" s="497"/>
      <c r="Q475" s="572"/>
      <c r="R475" s="130"/>
      <c r="S475" s="178"/>
      <c r="T475" s="178"/>
      <c r="U475" s="178"/>
      <c r="V475" s="178" t="str">
        <f t="shared" ref="V475:V479" si="240">IF(AND(T475=$FS$2,U475=$FT$2),"50%",IF(AND(T475=$FS$2,U475=$FT$3),"40%",IF(AND(T475=$FS$3,U475=$FT$2),"40%",IF(AND(T475=$FS$3,U475=$FT$3),"30%",IF(AND(T475=$FS$4,U475=$FT$2),"35%",IF(AND(T475=$FS$4,U475=$FT$3),"25%",""))))))</f>
        <v/>
      </c>
      <c r="W475" s="178"/>
      <c r="X475" s="178"/>
      <c r="Y475" s="178"/>
      <c r="Z475" s="131" t="str">
        <f>IFERROR(IF(AND(S474="Probabilidad",S475="Probabilidad"),(Z474-(+Z474*V475)),IF(S475="Probabilidad",(L474-(+L474*V475)),IF(S475="Impacto",Z474,""))),"")</f>
        <v/>
      </c>
      <c r="AA475" s="219"/>
      <c r="AC475" s="497"/>
      <c r="AD475" s="182" t="str">
        <f>IFERROR(IF(AND(S474="Impacto",#REF!="Impacto"),(AD474-(+AD474*#REF!)),IF(#REF!="Impacto",(O474-(+O474*#REF!)),IF(#REF!="Probabilidad",AD474,""))),"")</f>
        <v/>
      </c>
      <c r="AE475" s="219"/>
      <c r="AG475" s="497"/>
      <c r="AH475" s="497"/>
      <c r="AI475" s="497"/>
      <c r="AJ475" s="172"/>
      <c r="AK475" s="172"/>
      <c r="AL475" s="163"/>
      <c r="AM475" s="172"/>
      <c r="AN475" s="172"/>
      <c r="AO475" s="172"/>
      <c r="AP475" s="497"/>
      <c r="AQ475" s="537"/>
    </row>
    <row r="476" spans="1:181" ht="9.75" customHeight="1" x14ac:dyDescent="0.2">
      <c r="A476" s="632"/>
      <c r="B476" s="126" t="s">
        <v>115</v>
      </c>
      <c r="C476" s="325"/>
      <c r="D476" s="633"/>
      <c r="E476" s="634"/>
      <c r="F476" s="441"/>
      <c r="G476" s="438"/>
      <c r="H476" s="200"/>
      <c r="I476" s="507"/>
      <c r="J476" s="504"/>
      <c r="K476" s="497"/>
      <c r="L476" s="497"/>
      <c r="M476" s="497"/>
      <c r="N476" s="497"/>
      <c r="O476" s="510"/>
      <c r="P476" s="497"/>
      <c r="Q476" s="572"/>
      <c r="R476" s="130"/>
      <c r="S476" s="178"/>
      <c r="T476" s="178"/>
      <c r="U476" s="178"/>
      <c r="V476" s="178" t="str">
        <f t="shared" si="240"/>
        <v/>
      </c>
      <c r="W476" s="178"/>
      <c r="X476" s="178"/>
      <c r="Y476" s="178"/>
      <c r="Z476" s="131" t="str">
        <f>IFERROR(IF(AND(S475="Probabilidad",S476="Probabilidad"),(Z475-(+Z475*V476)),IF(S476="Probabilidad",(L475-(+L475*V476)),IF(S476="Impacto",Z475,""))),"")</f>
        <v/>
      </c>
      <c r="AA476" s="219"/>
      <c r="AC476" s="497"/>
      <c r="AD476" s="182" t="str">
        <f>IFERROR(IF(AND(#REF!="Impacto",#REF!="Impacto"),(AD475-(+AD475*#REF!)),IF(#REF!="Impacto",(O475-(+O475*#REF!)),IF(#REF!="Probabilidad",AD475,""))),"")</f>
        <v/>
      </c>
      <c r="AE476" s="219"/>
      <c r="AG476" s="497"/>
      <c r="AH476" s="497"/>
      <c r="AI476" s="497"/>
      <c r="AJ476" s="172"/>
      <c r="AK476" s="172"/>
      <c r="AL476" s="163"/>
      <c r="AM476" s="172"/>
      <c r="AN476" s="172"/>
      <c r="AO476" s="172"/>
      <c r="AP476" s="497"/>
      <c r="AQ476" s="537"/>
    </row>
    <row r="477" spans="1:181" ht="9.75" customHeight="1" x14ac:dyDescent="0.2">
      <c r="A477" s="632"/>
      <c r="B477" s="126" t="s">
        <v>115</v>
      </c>
      <c r="C477" s="325"/>
      <c r="D477" s="633"/>
      <c r="E477" s="634"/>
      <c r="F477" s="441"/>
      <c r="G477" s="438"/>
      <c r="H477" s="200"/>
      <c r="I477" s="507"/>
      <c r="J477" s="504"/>
      <c r="K477" s="497"/>
      <c r="L477" s="497"/>
      <c r="M477" s="497"/>
      <c r="N477" s="497"/>
      <c r="O477" s="510"/>
      <c r="P477" s="497"/>
      <c r="Q477" s="572"/>
      <c r="R477" s="130"/>
      <c r="S477" s="178"/>
      <c r="T477" s="178"/>
      <c r="U477" s="178"/>
      <c r="V477" s="178" t="str">
        <f t="shared" si="240"/>
        <v/>
      </c>
      <c r="W477" s="178"/>
      <c r="X477" s="178"/>
      <c r="Y477" s="178"/>
      <c r="Z477" s="131" t="str">
        <f>IFERROR(IF(AND(S476="Probabilidad",S477="Probabilidad"),(Z476-(+Z476*V477)),IF(S477="Probabilidad",(L476-(+L476*V477)),IF(S477="Impacto",Z476,""))),"")</f>
        <v/>
      </c>
      <c r="AA477" s="219"/>
      <c r="AC477" s="497"/>
      <c r="AD477" s="182" t="str">
        <f>IFERROR(IF(AND(#REF!="Impacto",#REF!="Impacto"),(AD476-(+AD476*#REF!)),IF(#REF!="Impacto",(O476-(+O476*#REF!)),IF(#REF!="Probabilidad",AD476,""))),"")</f>
        <v/>
      </c>
      <c r="AE477" s="219"/>
      <c r="AG477" s="497"/>
      <c r="AH477" s="497"/>
      <c r="AI477" s="497"/>
      <c r="AJ477" s="172"/>
      <c r="AK477" s="172"/>
      <c r="AL477" s="163"/>
      <c r="AM477" s="172"/>
      <c r="AN477" s="172"/>
      <c r="AO477" s="172"/>
      <c r="AP477" s="497"/>
      <c r="AQ477" s="537"/>
    </row>
    <row r="478" spans="1:181" ht="9.75" customHeight="1" x14ac:dyDescent="0.2">
      <c r="A478" s="632"/>
      <c r="B478" s="126" t="s">
        <v>115</v>
      </c>
      <c r="C478" s="325"/>
      <c r="D478" s="633"/>
      <c r="E478" s="634"/>
      <c r="F478" s="441"/>
      <c r="G478" s="438"/>
      <c r="H478" s="200"/>
      <c r="I478" s="507"/>
      <c r="J478" s="504"/>
      <c r="K478" s="497"/>
      <c r="L478" s="497"/>
      <c r="M478" s="497"/>
      <c r="N478" s="497"/>
      <c r="O478" s="510"/>
      <c r="P478" s="497"/>
      <c r="Q478" s="572"/>
      <c r="R478" s="130"/>
      <c r="S478" s="178"/>
      <c r="T478" s="178"/>
      <c r="U478" s="178"/>
      <c r="V478" s="178" t="str">
        <f t="shared" si="240"/>
        <v/>
      </c>
      <c r="W478" s="178"/>
      <c r="X478" s="178"/>
      <c r="Y478" s="178"/>
      <c r="Z478" s="131" t="str">
        <f>IFERROR(IF(AND(S477="Probabilidad",S478="Probabilidad"),(Z477-(+Z477*V478)),IF(S478="Probabilidad",(L477-(+L477*V478)),IF(S478="Impacto",Z477,""))),"")</f>
        <v/>
      </c>
      <c r="AA478" s="219"/>
      <c r="AC478" s="497"/>
      <c r="AD478" s="182" t="str">
        <f>IFERROR(IF(AND(#REF!="Impacto",V478="Impacto"),(AD477-(+AD477*V478)),IF(S478="Impacto",(O477-(+O477*V478)),IF(S478="Probabilidad",AD477,""))),"")</f>
        <v/>
      </c>
      <c r="AE478" s="219"/>
      <c r="AG478" s="497"/>
      <c r="AH478" s="497"/>
      <c r="AI478" s="497"/>
      <c r="AJ478" s="172"/>
      <c r="AK478" s="172"/>
      <c r="AL478" s="163"/>
      <c r="AM478" s="172"/>
      <c r="AN478" s="172"/>
      <c r="AO478" s="172"/>
      <c r="AP478" s="497"/>
      <c r="AQ478" s="537"/>
    </row>
    <row r="479" spans="1:181" ht="9.75" customHeight="1" x14ac:dyDescent="0.2">
      <c r="A479" s="632"/>
      <c r="B479" s="126" t="s">
        <v>115</v>
      </c>
      <c r="C479" s="459"/>
      <c r="D479" s="633"/>
      <c r="E479" s="634"/>
      <c r="F479" s="458"/>
      <c r="G479" s="457"/>
      <c r="H479" s="201"/>
      <c r="I479" s="508"/>
      <c r="J479" s="505"/>
      <c r="K479" s="498"/>
      <c r="L479" s="498"/>
      <c r="M479" s="498"/>
      <c r="N479" s="498"/>
      <c r="O479" s="511"/>
      <c r="P479" s="498"/>
      <c r="Q479" s="572"/>
      <c r="R479" s="572"/>
      <c r="S479" s="172"/>
      <c r="T479" s="172"/>
      <c r="U479" s="172"/>
      <c r="V479" s="172" t="str">
        <f t="shared" si="240"/>
        <v/>
      </c>
      <c r="W479" s="172"/>
      <c r="X479" s="172"/>
      <c r="Y479" s="172"/>
      <c r="Z479" s="182" t="str">
        <f>IFERROR(IF(AND(S478="Probabilidad",S479="Probabilidad"),(Z478-(+Z478*V479)),IF(S479="Probabilidad",(L478-(+L478*V479)),IF(S479="Impacto",Z478,""))),"")</f>
        <v/>
      </c>
      <c r="AA479" s="220"/>
      <c r="AC479" s="498"/>
      <c r="AD479" s="182" t="str">
        <f t="shared" ref="AD479" si="241">IFERROR(IF(AND(S478="Impacto",V479="Impacto"),(AD478-(+AD478*V479)),IF(S479="Impacto",(O478-(+O478*V479)),IF(S479="Probabilidad",AD478,""))),"")</f>
        <v/>
      </c>
      <c r="AE479" s="220"/>
      <c r="AG479" s="498"/>
      <c r="AH479" s="498"/>
      <c r="AI479" s="498"/>
      <c r="AJ479" s="172"/>
      <c r="AK479" s="172"/>
      <c r="AL479" s="163"/>
      <c r="AM479" s="172"/>
      <c r="AN479" s="172"/>
      <c r="AO479" s="172"/>
      <c r="AP479" s="498"/>
      <c r="AQ479" s="538"/>
    </row>
    <row r="480" spans="1:181" x14ac:dyDescent="0.2">
      <c r="J480" s="100"/>
      <c r="AJ480" s="100"/>
      <c r="AK480" s="100"/>
      <c r="AL480" s="158"/>
      <c r="AM480" s="100"/>
      <c r="AN480" s="100"/>
      <c r="AO480" s="100"/>
      <c r="AP480" s="100"/>
      <c r="AQ480" s="100"/>
    </row>
    <row r="481" spans="10:43" x14ac:dyDescent="0.2">
      <c r="J481" s="100"/>
      <c r="AJ481" s="100"/>
      <c r="AK481" s="100"/>
      <c r="AL481" s="158"/>
      <c r="AM481" s="100"/>
      <c r="AN481" s="100"/>
      <c r="AO481" s="100"/>
      <c r="AP481" s="100"/>
      <c r="AQ481" s="100"/>
    </row>
    <row r="482" spans="10:43" x14ac:dyDescent="0.2">
      <c r="J482" s="100"/>
      <c r="AJ482" s="100"/>
      <c r="AK482" s="100"/>
      <c r="AL482" s="158"/>
      <c r="AM482" s="100"/>
      <c r="AN482" s="100"/>
      <c r="AO482" s="100"/>
      <c r="AP482" s="100"/>
      <c r="AQ482" s="100"/>
    </row>
    <row r="483" spans="10:43" x14ac:dyDescent="0.2">
      <c r="J483" s="100"/>
      <c r="AJ483" s="100"/>
      <c r="AK483" s="100"/>
      <c r="AL483" s="158"/>
      <c r="AM483" s="100"/>
      <c r="AN483" s="100"/>
      <c r="AO483" s="100"/>
      <c r="AP483" s="100"/>
      <c r="AQ483" s="100"/>
    </row>
    <row r="484" spans="10:43" x14ac:dyDescent="0.2">
      <c r="J484" s="100"/>
      <c r="AJ484" s="100"/>
      <c r="AK484" s="100"/>
      <c r="AL484" s="158"/>
      <c r="AM484" s="100"/>
      <c r="AN484" s="100"/>
      <c r="AO484" s="100"/>
      <c r="AP484" s="100"/>
      <c r="AQ484" s="100"/>
    </row>
    <row r="485" spans="10:43" x14ac:dyDescent="0.2">
      <c r="J485" s="100"/>
      <c r="AJ485" s="100"/>
      <c r="AK485" s="100"/>
      <c r="AL485" s="158"/>
      <c r="AM485" s="100"/>
      <c r="AN485" s="100"/>
      <c r="AO485" s="100"/>
      <c r="AP485" s="100"/>
      <c r="AQ485" s="100"/>
    </row>
    <row r="486" spans="10:43" x14ac:dyDescent="0.2">
      <c r="J486" s="100"/>
      <c r="AJ486" s="100"/>
      <c r="AK486" s="100"/>
      <c r="AL486" s="158"/>
      <c r="AM486" s="100"/>
      <c r="AN486" s="100"/>
      <c r="AO486" s="100"/>
      <c r="AP486" s="100"/>
      <c r="AQ486" s="100"/>
    </row>
    <row r="487" spans="10:43" x14ac:dyDescent="0.2">
      <c r="J487" s="100"/>
      <c r="AJ487" s="100"/>
      <c r="AK487" s="100"/>
      <c r="AL487" s="158"/>
      <c r="AM487" s="100"/>
      <c r="AN487" s="100"/>
      <c r="AO487" s="100"/>
      <c r="AP487" s="100"/>
      <c r="AQ487" s="100"/>
    </row>
    <row r="488" spans="10:43" x14ac:dyDescent="0.2">
      <c r="J488" s="100"/>
      <c r="AJ488" s="100"/>
      <c r="AK488" s="100"/>
      <c r="AL488" s="158"/>
      <c r="AM488" s="100"/>
      <c r="AN488" s="100"/>
      <c r="AO488" s="100"/>
      <c r="AP488" s="100"/>
      <c r="AQ488" s="100"/>
    </row>
    <row r="489" spans="10:43" x14ac:dyDescent="0.2">
      <c r="J489" s="100"/>
      <c r="AJ489" s="100"/>
      <c r="AK489" s="100"/>
      <c r="AL489" s="158"/>
      <c r="AM489" s="100"/>
      <c r="AN489" s="100"/>
      <c r="AO489" s="100"/>
      <c r="AP489" s="100"/>
      <c r="AQ489" s="100"/>
    </row>
    <row r="490" spans="10:43" x14ac:dyDescent="0.2">
      <c r="J490" s="100"/>
      <c r="AJ490" s="100"/>
      <c r="AK490" s="100"/>
      <c r="AL490" s="158"/>
      <c r="AM490" s="100"/>
      <c r="AN490" s="100"/>
      <c r="AO490" s="100"/>
      <c r="AP490" s="100"/>
      <c r="AQ490" s="100"/>
    </row>
    <row r="491" spans="10:43" x14ac:dyDescent="0.2">
      <c r="J491" s="100"/>
      <c r="AJ491" s="100"/>
      <c r="AK491" s="100"/>
      <c r="AL491" s="158"/>
      <c r="AM491" s="100"/>
      <c r="AN491" s="100"/>
      <c r="AO491" s="100"/>
      <c r="AP491" s="100"/>
      <c r="AQ491" s="100"/>
    </row>
    <row r="492" spans="10:43" x14ac:dyDescent="0.2">
      <c r="J492" s="100"/>
      <c r="AJ492" s="100"/>
      <c r="AK492" s="100"/>
      <c r="AL492" s="158"/>
      <c r="AM492" s="100"/>
      <c r="AN492" s="100"/>
      <c r="AO492" s="100"/>
      <c r="AP492" s="100"/>
      <c r="AQ492" s="100"/>
    </row>
    <row r="493" spans="10:43" x14ac:dyDescent="0.2">
      <c r="J493" s="100"/>
      <c r="AJ493" s="100"/>
      <c r="AK493" s="100"/>
      <c r="AL493" s="158"/>
      <c r="AM493" s="100"/>
      <c r="AN493" s="100"/>
      <c r="AO493" s="100"/>
      <c r="AP493" s="100"/>
      <c r="AQ493" s="100"/>
    </row>
    <row r="494" spans="10:43" x14ac:dyDescent="0.2">
      <c r="J494" s="100"/>
      <c r="AJ494" s="100"/>
      <c r="AK494" s="100"/>
      <c r="AL494" s="158"/>
      <c r="AM494" s="100"/>
      <c r="AN494" s="100"/>
      <c r="AO494" s="100"/>
      <c r="AP494" s="100"/>
      <c r="AQ494" s="100"/>
    </row>
    <row r="495" spans="10:43" x14ac:dyDescent="0.2">
      <c r="J495" s="100"/>
      <c r="AJ495" s="100"/>
      <c r="AK495" s="100"/>
      <c r="AL495" s="158"/>
      <c r="AM495" s="100"/>
      <c r="AN495" s="100"/>
      <c r="AO495" s="100"/>
      <c r="AP495" s="100"/>
      <c r="AQ495" s="100"/>
    </row>
    <row r="496" spans="10:43" x14ac:dyDescent="0.2">
      <c r="J496" s="100"/>
      <c r="AJ496" s="100"/>
      <c r="AK496" s="100"/>
      <c r="AL496" s="158"/>
      <c r="AM496" s="100"/>
      <c r="AN496" s="100"/>
      <c r="AO496" s="100"/>
      <c r="AP496" s="100"/>
      <c r="AQ496" s="100"/>
    </row>
    <row r="497" spans="10:43" x14ac:dyDescent="0.2">
      <c r="J497" s="100"/>
      <c r="AJ497" s="100"/>
      <c r="AK497" s="100"/>
      <c r="AL497" s="158"/>
      <c r="AM497" s="100"/>
      <c r="AN497" s="100"/>
      <c r="AO497" s="100"/>
      <c r="AP497" s="100"/>
      <c r="AQ497" s="100"/>
    </row>
    <row r="498" spans="10:43" x14ac:dyDescent="0.2">
      <c r="J498" s="100"/>
      <c r="AJ498" s="100"/>
      <c r="AK498" s="100"/>
      <c r="AL498" s="158"/>
      <c r="AM498" s="100"/>
      <c r="AN498" s="100"/>
      <c r="AO498" s="100"/>
      <c r="AP498" s="100"/>
      <c r="AQ498" s="100"/>
    </row>
    <row r="499" spans="10:43" x14ac:dyDescent="0.2">
      <c r="J499" s="100"/>
      <c r="AJ499" s="100"/>
      <c r="AK499" s="100"/>
      <c r="AL499" s="158"/>
      <c r="AM499" s="100"/>
      <c r="AN499" s="100"/>
      <c r="AO499" s="100"/>
      <c r="AP499" s="100"/>
      <c r="AQ499" s="100"/>
    </row>
    <row r="500" spans="10:43" x14ac:dyDescent="0.2">
      <c r="J500" s="100"/>
    </row>
    <row r="501" spans="10:43" x14ac:dyDescent="0.2">
      <c r="J501" s="100"/>
    </row>
    <row r="502" spans="10:43" x14ac:dyDescent="0.2">
      <c r="J502" s="100"/>
    </row>
    <row r="503" spans="10:43" x14ac:dyDescent="0.2">
      <c r="J503" s="100"/>
    </row>
    <row r="504" spans="10:43" x14ac:dyDescent="0.2">
      <c r="J504" s="100"/>
    </row>
  </sheetData>
  <autoFilter ref="A5:FY473">
    <filterColumn colId="26" showButton="0"/>
    <filterColumn colId="27" showButton="0"/>
    <filterColumn colId="30" showButton="0"/>
    <filterColumn colId="31" showButton="0"/>
  </autoFilter>
  <mergeCells count="1935">
    <mergeCell ref="A474:A479"/>
    <mergeCell ref="C474:C479"/>
    <mergeCell ref="D474:D479"/>
    <mergeCell ref="E474:E479"/>
    <mergeCell ref="F474:F479"/>
    <mergeCell ref="G474:G479"/>
    <mergeCell ref="H474:H479"/>
    <mergeCell ref="I474:I479"/>
    <mergeCell ref="J474:J479"/>
    <mergeCell ref="K474:K479"/>
    <mergeCell ref="L474:L479"/>
    <mergeCell ref="M474:M479"/>
    <mergeCell ref="N474:N479"/>
    <mergeCell ref="O474:O479"/>
    <mergeCell ref="P474:P479"/>
    <mergeCell ref="AA474:AA479"/>
    <mergeCell ref="AC474:AC479"/>
    <mergeCell ref="AE474:AE479"/>
    <mergeCell ref="AG474:AG479"/>
    <mergeCell ref="AH474:AH479"/>
    <mergeCell ref="AI474:AI479"/>
    <mergeCell ref="AP474:AP479"/>
    <mergeCell ref="AQ474:AQ479"/>
    <mergeCell ref="AB468:AB473"/>
    <mergeCell ref="AC468:AC473"/>
    <mergeCell ref="AE468:AE473"/>
    <mergeCell ref="AF468:AF473"/>
    <mergeCell ref="AG468:AG473"/>
    <mergeCell ref="AH468:AH473"/>
    <mergeCell ref="AI468:AI473"/>
    <mergeCell ref="AP468:AP473"/>
    <mergeCell ref="AQ468:AQ473"/>
    <mergeCell ref="A468:A473"/>
    <mergeCell ref="C468:C473"/>
    <mergeCell ref="D468:D473"/>
    <mergeCell ref="E468:E473"/>
    <mergeCell ref="F468:F473"/>
    <mergeCell ref="G468:G473"/>
    <mergeCell ref="H468:H473"/>
    <mergeCell ref="I468:I473"/>
    <mergeCell ref="J468:J473"/>
    <mergeCell ref="K468:K473"/>
    <mergeCell ref="L468:L473"/>
    <mergeCell ref="M468:M473"/>
    <mergeCell ref="N468:N473"/>
    <mergeCell ref="O468:O473"/>
    <mergeCell ref="P468:P473"/>
    <mergeCell ref="AA468:AA473"/>
    <mergeCell ref="A4:J4"/>
    <mergeCell ref="K4:P4"/>
    <mergeCell ref="Q4:Y4"/>
    <mergeCell ref="Z4:AI4"/>
    <mergeCell ref="AJ4:AQ4"/>
    <mergeCell ref="AA5:AC5"/>
    <mergeCell ref="AE5:AG5"/>
    <mergeCell ref="A1:AO3"/>
    <mergeCell ref="AP6:AP11"/>
    <mergeCell ref="AQ6:AQ11"/>
    <mergeCell ref="A12:A17"/>
    <mergeCell ref="C12:C17"/>
    <mergeCell ref="D12:D17"/>
    <mergeCell ref="E12:E17"/>
    <mergeCell ref="F12:F17"/>
    <mergeCell ref="G12:G17"/>
    <mergeCell ref="H12:H17"/>
    <mergeCell ref="AC6:AC11"/>
    <mergeCell ref="AE6:AE11"/>
    <mergeCell ref="AF6:AF11"/>
    <mergeCell ref="AG6:AG11"/>
    <mergeCell ref="AH6:AH11"/>
    <mergeCell ref="AI6:AI11"/>
    <mergeCell ref="M6:M11"/>
    <mergeCell ref="N6:N11"/>
    <mergeCell ref="O6:O11"/>
    <mergeCell ref="P6:P11"/>
    <mergeCell ref="AA6:AA11"/>
    <mergeCell ref="AB6:AB11"/>
    <mergeCell ref="G6:G11"/>
    <mergeCell ref="H6:H11"/>
    <mergeCell ref="I6:I11"/>
    <mergeCell ref="J6:J11"/>
    <mergeCell ref="K6:K11"/>
    <mergeCell ref="L6:L11"/>
    <mergeCell ref="A6:A11"/>
    <mergeCell ref="C6:C11"/>
    <mergeCell ref="D6:D11"/>
    <mergeCell ref="E18:E23"/>
    <mergeCell ref="F18:F23"/>
    <mergeCell ref="AF12:AF17"/>
    <mergeCell ref="AG12:AG17"/>
    <mergeCell ref="AH12:AH17"/>
    <mergeCell ref="AI12:AI17"/>
    <mergeCell ref="AP12:AP17"/>
    <mergeCell ref="P18:P23"/>
    <mergeCell ref="AA18:AA23"/>
    <mergeCell ref="AB18:AB23"/>
    <mergeCell ref="G18:G23"/>
    <mergeCell ref="H18:H23"/>
    <mergeCell ref="I18:I23"/>
    <mergeCell ref="J18:J23"/>
    <mergeCell ref="K18:K23"/>
    <mergeCell ref="L18:L23"/>
    <mergeCell ref="A18:A23"/>
    <mergeCell ref="C18:C23"/>
    <mergeCell ref="D18:D23"/>
    <mergeCell ref="E6:E11"/>
    <mergeCell ref="F6:F11"/>
    <mergeCell ref="AQ12:AQ17"/>
    <mergeCell ref="O12:O17"/>
    <mergeCell ref="P12:P17"/>
    <mergeCell ref="AA12:AA17"/>
    <mergeCell ref="AB12:AB17"/>
    <mergeCell ref="AC12:AC17"/>
    <mergeCell ref="AE12:AE17"/>
    <mergeCell ref="I12:I17"/>
    <mergeCell ref="J12:J17"/>
    <mergeCell ref="K12:K17"/>
    <mergeCell ref="L12:L17"/>
    <mergeCell ref="M12:M17"/>
    <mergeCell ref="N12:N17"/>
    <mergeCell ref="AP18:AP23"/>
    <mergeCell ref="AQ18:AQ23"/>
    <mergeCell ref="A24:A29"/>
    <mergeCell ref="C24:C29"/>
    <mergeCell ref="D24:D29"/>
    <mergeCell ref="E24:E29"/>
    <mergeCell ref="F24:F29"/>
    <mergeCell ref="G24:G29"/>
    <mergeCell ref="H24:H29"/>
    <mergeCell ref="AC18:AC23"/>
    <mergeCell ref="AE18:AE23"/>
    <mergeCell ref="AF18:AF23"/>
    <mergeCell ref="AG18:AG23"/>
    <mergeCell ref="AH18:AH23"/>
    <mergeCell ref="AI18:AI23"/>
    <mergeCell ref="M18:M23"/>
    <mergeCell ref="N18:N23"/>
    <mergeCell ref="O18:O23"/>
    <mergeCell ref="A30:A35"/>
    <mergeCell ref="C30:C35"/>
    <mergeCell ref="D30:D35"/>
    <mergeCell ref="E30:E35"/>
    <mergeCell ref="F30:F35"/>
    <mergeCell ref="G30:G35"/>
    <mergeCell ref="H30:H35"/>
    <mergeCell ref="AF24:AF29"/>
    <mergeCell ref="AG24:AG29"/>
    <mergeCell ref="AH24:AH29"/>
    <mergeCell ref="AI24:AI29"/>
    <mergeCell ref="AP24:AP29"/>
    <mergeCell ref="AQ24:AQ29"/>
    <mergeCell ref="O24:O29"/>
    <mergeCell ref="P24:P29"/>
    <mergeCell ref="AA24:AA29"/>
    <mergeCell ref="AB24:AB29"/>
    <mergeCell ref="AC24:AC29"/>
    <mergeCell ref="AE24:AE29"/>
    <mergeCell ref="I24:I29"/>
    <mergeCell ref="J24:J29"/>
    <mergeCell ref="K24:K29"/>
    <mergeCell ref="L24:L29"/>
    <mergeCell ref="M24:M29"/>
    <mergeCell ref="N24:N29"/>
    <mergeCell ref="E36:E41"/>
    <mergeCell ref="F36:F41"/>
    <mergeCell ref="AF30:AF35"/>
    <mergeCell ref="AG30:AG35"/>
    <mergeCell ref="AH30:AH35"/>
    <mergeCell ref="AI30:AI35"/>
    <mergeCell ref="AP30:AP35"/>
    <mergeCell ref="AQ30:AQ35"/>
    <mergeCell ref="O30:O35"/>
    <mergeCell ref="P30:P35"/>
    <mergeCell ref="AA30:AA35"/>
    <mergeCell ref="AB30:AB35"/>
    <mergeCell ref="AC30:AC35"/>
    <mergeCell ref="AE30:AE35"/>
    <mergeCell ref="I30:I35"/>
    <mergeCell ref="J30:J35"/>
    <mergeCell ref="K30:K35"/>
    <mergeCell ref="L30:L35"/>
    <mergeCell ref="M30:M35"/>
    <mergeCell ref="N30:N35"/>
    <mergeCell ref="AP36:AP41"/>
    <mergeCell ref="AQ36:AQ41"/>
    <mergeCell ref="AP48:AP53"/>
    <mergeCell ref="AQ48:AQ53"/>
    <mergeCell ref="A42:A47"/>
    <mergeCell ref="C42:C47"/>
    <mergeCell ref="D42:D47"/>
    <mergeCell ref="E42:E47"/>
    <mergeCell ref="F42:F47"/>
    <mergeCell ref="G42:G47"/>
    <mergeCell ref="H42:H47"/>
    <mergeCell ref="AC36:AC41"/>
    <mergeCell ref="AE36:AE41"/>
    <mergeCell ref="AF36:AF41"/>
    <mergeCell ref="AG36:AG41"/>
    <mergeCell ref="AH36:AH41"/>
    <mergeCell ref="AI36:AI41"/>
    <mergeCell ref="M36:M41"/>
    <mergeCell ref="N36:N41"/>
    <mergeCell ref="O36:O41"/>
    <mergeCell ref="P36:P41"/>
    <mergeCell ref="AA36:AA41"/>
    <mergeCell ref="AB36:AB41"/>
    <mergeCell ref="G36:G41"/>
    <mergeCell ref="H36:H41"/>
    <mergeCell ref="I36:I41"/>
    <mergeCell ref="J36:J41"/>
    <mergeCell ref="K36:K41"/>
    <mergeCell ref="L36:L41"/>
    <mergeCell ref="A36:A41"/>
    <mergeCell ref="C36:C41"/>
    <mergeCell ref="D36:D41"/>
    <mergeCell ref="AF42:AF47"/>
    <mergeCell ref="AG42:AG47"/>
    <mergeCell ref="AH42:AH47"/>
    <mergeCell ref="AI42:AI47"/>
    <mergeCell ref="AP42:AP47"/>
    <mergeCell ref="AQ42:AQ47"/>
    <mergeCell ref="O42:O47"/>
    <mergeCell ref="P42:P47"/>
    <mergeCell ref="AA42:AA47"/>
    <mergeCell ref="AB42:AB47"/>
    <mergeCell ref="AC42:AC47"/>
    <mergeCell ref="AE42:AE47"/>
    <mergeCell ref="I42:I47"/>
    <mergeCell ref="J42:J47"/>
    <mergeCell ref="K42:K47"/>
    <mergeCell ref="L42:L47"/>
    <mergeCell ref="M42:M47"/>
    <mergeCell ref="N42:N47"/>
    <mergeCell ref="A54:A59"/>
    <mergeCell ref="C54:C59"/>
    <mergeCell ref="D54:D59"/>
    <mergeCell ref="E54:E59"/>
    <mergeCell ref="F54:F59"/>
    <mergeCell ref="G54:G59"/>
    <mergeCell ref="H54:H59"/>
    <mergeCell ref="AC48:AC53"/>
    <mergeCell ref="AE48:AE53"/>
    <mergeCell ref="AF48:AF53"/>
    <mergeCell ref="AG48:AG53"/>
    <mergeCell ref="AH48:AH53"/>
    <mergeCell ref="AI48:AI53"/>
    <mergeCell ref="M48:M53"/>
    <mergeCell ref="N48:N53"/>
    <mergeCell ref="O48:O53"/>
    <mergeCell ref="P48:P53"/>
    <mergeCell ref="AA48:AA53"/>
    <mergeCell ref="AB48:AB53"/>
    <mergeCell ref="G48:G53"/>
    <mergeCell ref="H48:H53"/>
    <mergeCell ref="I48:I53"/>
    <mergeCell ref="J48:J53"/>
    <mergeCell ref="K48:K53"/>
    <mergeCell ref="L48:L53"/>
    <mergeCell ref="A48:A53"/>
    <mergeCell ref="C48:C53"/>
    <mergeCell ref="D48:D53"/>
    <mergeCell ref="E48:E53"/>
    <mergeCell ref="F48:F53"/>
    <mergeCell ref="E60:E65"/>
    <mergeCell ref="F60:F65"/>
    <mergeCell ref="AF54:AF59"/>
    <mergeCell ref="AG54:AG59"/>
    <mergeCell ref="AH54:AH59"/>
    <mergeCell ref="AI54:AI59"/>
    <mergeCell ref="AP54:AP59"/>
    <mergeCell ref="AQ54:AQ59"/>
    <mergeCell ref="O54:O59"/>
    <mergeCell ref="P54:P59"/>
    <mergeCell ref="AA54:AA59"/>
    <mergeCell ref="AB54:AB59"/>
    <mergeCell ref="AC54:AC59"/>
    <mergeCell ref="AE54:AE59"/>
    <mergeCell ref="I54:I59"/>
    <mergeCell ref="J54:J59"/>
    <mergeCell ref="K54:K59"/>
    <mergeCell ref="L54:L59"/>
    <mergeCell ref="M54:M59"/>
    <mergeCell ref="N54:N59"/>
    <mergeCell ref="AP60:AP65"/>
    <mergeCell ref="AQ60:AQ65"/>
    <mergeCell ref="AC60:AC65"/>
    <mergeCell ref="AE60:AE65"/>
    <mergeCell ref="AF60:AF65"/>
    <mergeCell ref="AG60:AG65"/>
    <mergeCell ref="AH60:AH65"/>
    <mergeCell ref="AI60:AI65"/>
    <mergeCell ref="M60:M65"/>
    <mergeCell ref="N60:N65"/>
    <mergeCell ref="O60:O65"/>
    <mergeCell ref="P60:P65"/>
    <mergeCell ref="AA60:AA65"/>
    <mergeCell ref="AB60:AB65"/>
    <mergeCell ref="G60:G65"/>
    <mergeCell ref="H60:H65"/>
    <mergeCell ref="I60:I65"/>
    <mergeCell ref="J60:J65"/>
    <mergeCell ref="K60:K65"/>
    <mergeCell ref="L60:L65"/>
    <mergeCell ref="A60:A65"/>
    <mergeCell ref="C60:C65"/>
    <mergeCell ref="D60:D65"/>
    <mergeCell ref="AH66:AH71"/>
    <mergeCell ref="AI66:AI71"/>
    <mergeCell ref="AP66:AP71"/>
    <mergeCell ref="AQ66:AQ71"/>
    <mergeCell ref="O66:O71"/>
    <mergeCell ref="P66:P71"/>
    <mergeCell ref="AA66:AA71"/>
    <mergeCell ref="AB66:AB71"/>
    <mergeCell ref="AC66:AC71"/>
    <mergeCell ref="AE66:AE71"/>
    <mergeCell ref="I66:I71"/>
    <mergeCell ref="J66:J71"/>
    <mergeCell ref="K66:K71"/>
    <mergeCell ref="L66:L71"/>
    <mergeCell ref="M66:M71"/>
    <mergeCell ref="N66:N71"/>
    <mergeCell ref="A84:A89"/>
    <mergeCell ref="C84:C89"/>
    <mergeCell ref="D84:D89"/>
    <mergeCell ref="E84:E89"/>
    <mergeCell ref="F84:F89"/>
    <mergeCell ref="AE78:AE83"/>
    <mergeCell ref="AG78:AG83"/>
    <mergeCell ref="AH78:AH83"/>
    <mergeCell ref="AI78:AI83"/>
    <mergeCell ref="AP78:AP83"/>
    <mergeCell ref="AQ78:AQ83"/>
    <mergeCell ref="M78:M83"/>
    <mergeCell ref="N78:N83"/>
    <mergeCell ref="O78:O83"/>
    <mergeCell ref="P78:P83"/>
    <mergeCell ref="AA78:AA83"/>
    <mergeCell ref="AC78:AC83"/>
    <mergeCell ref="G78:G83"/>
    <mergeCell ref="H78:H83"/>
    <mergeCell ref="I78:I83"/>
    <mergeCell ref="J78:J83"/>
    <mergeCell ref="K78:K83"/>
    <mergeCell ref="L78:L83"/>
    <mergeCell ref="A78:A83"/>
    <mergeCell ref="C78:C83"/>
    <mergeCell ref="D78:D83"/>
    <mergeCell ref="E78:E83"/>
    <mergeCell ref="F78:F83"/>
    <mergeCell ref="AE84:AE89"/>
    <mergeCell ref="AG84:AG89"/>
    <mergeCell ref="AH84:AH89"/>
    <mergeCell ref="AI84:AI89"/>
    <mergeCell ref="AP84:AP89"/>
    <mergeCell ref="AC84:AC89"/>
    <mergeCell ref="G84:G89"/>
    <mergeCell ref="H84:H89"/>
    <mergeCell ref="I84:I89"/>
    <mergeCell ref="J84:J89"/>
    <mergeCell ref="K84:K89"/>
    <mergeCell ref="L84:L89"/>
    <mergeCell ref="AQ90:AQ95"/>
    <mergeCell ref="M90:M95"/>
    <mergeCell ref="N90:N95"/>
    <mergeCell ref="O90:O95"/>
    <mergeCell ref="P90:P95"/>
    <mergeCell ref="AA90:AA95"/>
    <mergeCell ref="AC90:AC95"/>
    <mergeCell ref="G90:G95"/>
    <mergeCell ref="H90:H95"/>
    <mergeCell ref="I90:I95"/>
    <mergeCell ref="J90:J95"/>
    <mergeCell ref="K90:K95"/>
    <mergeCell ref="L90:L95"/>
    <mergeCell ref="AE90:AE95"/>
    <mergeCell ref="AG90:AG95"/>
    <mergeCell ref="AH90:AH95"/>
    <mergeCell ref="AI90:AI95"/>
    <mergeCell ref="A90:A95"/>
    <mergeCell ref="C90:C95"/>
    <mergeCell ref="D90:D95"/>
    <mergeCell ref="E90:E95"/>
    <mergeCell ref="F90:F95"/>
    <mergeCell ref="G96:G101"/>
    <mergeCell ref="H96:H101"/>
    <mergeCell ref="I96:I101"/>
    <mergeCell ref="J96:J101"/>
    <mergeCell ref="K96:K101"/>
    <mergeCell ref="L96:L101"/>
    <mergeCell ref="A96:A101"/>
    <mergeCell ref="C96:C101"/>
    <mergeCell ref="D96:D101"/>
    <mergeCell ref="E96:E101"/>
    <mergeCell ref="F96:F101"/>
    <mergeCell ref="AP90:AP95"/>
    <mergeCell ref="A450:A455"/>
    <mergeCell ref="C450:C455"/>
    <mergeCell ref="D450:D455"/>
    <mergeCell ref="E450:E455"/>
    <mergeCell ref="F450:F455"/>
    <mergeCell ref="AE102:AE107"/>
    <mergeCell ref="AG102:AG107"/>
    <mergeCell ref="AH102:AH107"/>
    <mergeCell ref="AI102:AI107"/>
    <mergeCell ref="AP102:AP107"/>
    <mergeCell ref="AQ102:AQ107"/>
    <mergeCell ref="M102:M107"/>
    <mergeCell ref="N102:N107"/>
    <mergeCell ref="O102:O107"/>
    <mergeCell ref="P102:P107"/>
    <mergeCell ref="AA102:AA107"/>
    <mergeCell ref="AC102:AC107"/>
    <mergeCell ref="G102:G107"/>
    <mergeCell ref="H102:H107"/>
    <mergeCell ref="I102:I107"/>
    <mergeCell ref="J102:J107"/>
    <mergeCell ref="K102:K107"/>
    <mergeCell ref="L102:L107"/>
    <mergeCell ref="A102:A107"/>
    <mergeCell ref="C102:C107"/>
    <mergeCell ref="D102:D107"/>
    <mergeCell ref="E102:E107"/>
    <mergeCell ref="F102:F107"/>
    <mergeCell ref="AE108:AE113"/>
    <mergeCell ref="G108:G113"/>
    <mergeCell ref="H108:H113"/>
    <mergeCell ref="A108:A113"/>
    <mergeCell ref="E66:E71"/>
    <mergeCell ref="F66:F71"/>
    <mergeCell ref="AE450:AE455"/>
    <mergeCell ref="AG450:AG455"/>
    <mergeCell ref="AH450:AH455"/>
    <mergeCell ref="AI450:AI455"/>
    <mergeCell ref="AP450:AP455"/>
    <mergeCell ref="AQ450:AQ455"/>
    <mergeCell ref="M450:M455"/>
    <mergeCell ref="N450:N455"/>
    <mergeCell ref="O450:O455"/>
    <mergeCell ref="P450:P455"/>
    <mergeCell ref="AA450:AA455"/>
    <mergeCell ref="AC450:AC455"/>
    <mergeCell ref="G450:G455"/>
    <mergeCell ref="H450:H455"/>
    <mergeCell ref="I450:I455"/>
    <mergeCell ref="J450:J455"/>
    <mergeCell ref="K450:K455"/>
    <mergeCell ref="L450:L455"/>
    <mergeCell ref="AE96:AE101"/>
    <mergeCell ref="AG96:AG101"/>
    <mergeCell ref="AH96:AH101"/>
    <mergeCell ref="AI96:AI101"/>
    <mergeCell ref="AP96:AP101"/>
    <mergeCell ref="AQ96:AQ101"/>
    <mergeCell ref="M96:M101"/>
    <mergeCell ref="N96:N101"/>
    <mergeCell ref="O96:O101"/>
    <mergeCell ref="P96:P101"/>
    <mergeCell ref="AA96:AA101"/>
    <mergeCell ref="AC96:AC101"/>
    <mergeCell ref="A72:A77"/>
    <mergeCell ref="C72:C77"/>
    <mergeCell ref="D72:D77"/>
    <mergeCell ref="E72:E77"/>
    <mergeCell ref="F72:F77"/>
    <mergeCell ref="G72:G77"/>
    <mergeCell ref="H72:H77"/>
    <mergeCell ref="AF66:AF71"/>
    <mergeCell ref="AG66:AG71"/>
    <mergeCell ref="G66:G71"/>
    <mergeCell ref="H66:H71"/>
    <mergeCell ref="A66:A71"/>
    <mergeCell ref="C66:C71"/>
    <mergeCell ref="D66:D71"/>
    <mergeCell ref="AF72:AF77"/>
    <mergeCell ref="AG72:AG77"/>
    <mergeCell ref="AH72:AH77"/>
    <mergeCell ref="AI72:AI77"/>
    <mergeCell ref="AP72:AP77"/>
    <mergeCell ref="AQ72:AQ77"/>
    <mergeCell ref="O72:O77"/>
    <mergeCell ref="P72:P77"/>
    <mergeCell ref="AA72:AA77"/>
    <mergeCell ref="AB72:AB77"/>
    <mergeCell ref="AC72:AC77"/>
    <mergeCell ref="AE72:AE77"/>
    <mergeCell ref="I72:I77"/>
    <mergeCell ref="J72:J77"/>
    <mergeCell ref="K72:K77"/>
    <mergeCell ref="L72:L77"/>
    <mergeCell ref="M72:M77"/>
    <mergeCell ref="N72:N77"/>
    <mergeCell ref="AG108:AG113"/>
    <mergeCell ref="M108:M113"/>
    <mergeCell ref="N108:N113"/>
    <mergeCell ref="O108:O113"/>
    <mergeCell ref="P108:P113"/>
    <mergeCell ref="AA108:AA113"/>
    <mergeCell ref="I108:I113"/>
    <mergeCell ref="J108:J113"/>
    <mergeCell ref="K108:K113"/>
    <mergeCell ref="L108:L113"/>
    <mergeCell ref="AQ84:AQ89"/>
    <mergeCell ref="M84:M89"/>
    <mergeCell ref="N84:N89"/>
    <mergeCell ref="O84:O89"/>
    <mergeCell ref="P84:P89"/>
    <mergeCell ref="AA84:AA89"/>
    <mergeCell ref="C108:C113"/>
    <mergeCell ref="D108:D113"/>
    <mergeCell ref="E108:E113"/>
    <mergeCell ref="F108:F113"/>
    <mergeCell ref="AE114:AE119"/>
    <mergeCell ref="AG114:AG119"/>
    <mergeCell ref="M114:M119"/>
    <mergeCell ref="N114:N119"/>
    <mergeCell ref="O114:O119"/>
    <mergeCell ref="P114:P119"/>
    <mergeCell ref="AA114:AA119"/>
    <mergeCell ref="G114:G119"/>
    <mergeCell ref="H114:H119"/>
    <mergeCell ref="I114:I119"/>
    <mergeCell ref="J114:J119"/>
    <mergeCell ref="K114:K119"/>
    <mergeCell ref="L114:L119"/>
    <mergeCell ref="AC108:AC113"/>
    <mergeCell ref="L132:L137"/>
    <mergeCell ref="A114:A119"/>
    <mergeCell ref="C114:C119"/>
    <mergeCell ref="D114:D119"/>
    <mergeCell ref="E114:E119"/>
    <mergeCell ref="F114:F119"/>
    <mergeCell ref="AE120:AE125"/>
    <mergeCell ref="AG120:AG125"/>
    <mergeCell ref="M120:M125"/>
    <mergeCell ref="N120:N125"/>
    <mergeCell ref="O120:O125"/>
    <mergeCell ref="P120:P125"/>
    <mergeCell ref="AA120:AA125"/>
    <mergeCell ref="G120:G125"/>
    <mergeCell ref="H120:H125"/>
    <mergeCell ref="I120:I125"/>
    <mergeCell ref="J120:J125"/>
    <mergeCell ref="K120:K125"/>
    <mergeCell ref="L120:L125"/>
    <mergeCell ref="A120:A125"/>
    <mergeCell ref="C120:C125"/>
    <mergeCell ref="D120:D125"/>
    <mergeCell ref="E120:E125"/>
    <mergeCell ref="F120:F125"/>
    <mergeCell ref="AA444:AA449"/>
    <mergeCell ref="G444:G449"/>
    <mergeCell ref="H444:H449"/>
    <mergeCell ref="I444:I449"/>
    <mergeCell ref="J444:J449"/>
    <mergeCell ref="K444:K449"/>
    <mergeCell ref="L444:L449"/>
    <mergeCell ref="A444:A449"/>
    <mergeCell ref="C444:C449"/>
    <mergeCell ref="D444:D449"/>
    <mergeCell ref="E444:E449"/>
    <mergeCell ref="F444:F449"/>
    <mergeCell ref="AC444:AC449"/>
    <mergeCell ref="M126:M131"/>
    <mergeCell ref="N126:N131"/>
    <mergeCell ref="O126:O131"/>
    <mergeCell ref="P126:P131"/>
    <mergeCell ref="AA126:AA131"/>
    <mergeCell ref="G126:G131"/>
    <mergeCell ref="H126:H131"/>
    <mergeCell ref="I126:I131"/>
    <mergeCell ref="J126:J131"/>
    <mergeCell ref="K126:K131"/>
    <mergeCell ref="L126:L131"/>
    <mergeCell ref="A126:A131"/>
    <mergeCell ref="C126:C131"/>
    <mergeCell ref="D126:D131"/>
    <mergeCell ref="E126:E131"/>
    <mergeCell ref="F126:F131"/>
    <mergeCell ref="AC138:AC143"/>
    <mergeCell ref="O132:O137"/>
    <mergeCell ref="P132:P137"/>
    <mergeCell ref="AH108:AH113"/>
    <mergeCell ref="AI108:AI113"/>
    <mergeCell ref="AP108:AP113"/>
    <mergeCell ref="AQ108:AQ113"/>
    <mergeCell ref="AC114:AC119"/>
    <mergeCell ref="AH114:AH119"/>
    <mergeCell ref="AI114:AI119"/>
    <mergeCell ref="AC126:AC131"/>
    <mergeCell ref="AH126:AH131"/>
    <mergeCell ref="AI126:AI131"/>
    <mergeCell ref="AP126:AP131"/>
    <mergeCell ref="AQ126:AQ131"/>
    <mergeCell ref="AP114:AP119"/>
    <mergeCell ref="AQ114:AQ119"/>
    <mergeCell ref="AC120:AC125"/>
    <mergeCell ref="AH120:AH125"/>
    <mergeCell ref="AI120:AI125"/>
    <mergeCell ref="AP120:AP125"/>
    <mergeCell ref="AQ120:AQ125"/>
    <mergeCell ref="AE126:AE131"/>
    <mergeCell ref="AG126:AG131"/>
    <mergeCell ref="AH144:AH149"/>
    <mergeCell ref="AI144:AI149"/>
    <mergeCell ref="M144:M149"/>
    <mergeCell ref="N144:N149"/>
    <mergeCell ref="O144:O149"/>
    <mergeCell ref="P144:P149"/>
    <mergeCell ref="AA144:AA149"/>
    <mergeCell ref="AB144:AB149"/>
    <mergeCell ref="AP132:AP137"/>
    <mergeCell ref="AQ132:AQ137"/>
    <mergeCell ref="AC132:AC137"/>
    <mergeCell ref="AE132:AE137"/>
    <mergeCell ref="E150:E155"/>
    <mergeCell ref="F150:F155"/>
    <mergeCell ref="AF138:AF143"/>
    <mergeCell ref="AG138:AG143"/>
    <mergeCell ref="AH138:AH143"/>
    <mergeCell ref="AI138:AI143"/>
    <mergeCell ref="AP138:AP143"/>
    <mergeCell ref="AQ138:AQ143"/>
    <mergeCell ref="AA132:AA137"/>
    <mergeCell ref="AB132:AB137"/>
    <mergeCell ref="G132:G137"/>
    <mergeCell ref="H132:H137"/>
    <mergeCell ref="I132:I137"/>
    <mergeCell ref="AF132:AF137"/>
    <mergeCell ref="AG132:AG137"/>
    <mergeCell ref="AH132:AH137"/>
    <mergeCell ref="AI132:AI137"/>
    <mergeCell ref="M132:M137"/>
    <mergeCell ref="N132:N137"/>
    <mergeCell ref="E132:E137"/>
    <mergeCell ref="AQ444:AQ449"/>
    <mergeCell ref="AP150:AP155"/>
    <mergeCell ref="AQ150:AQ155"/>
    <mergeCell ref="E162:E167"/>
    <mergeCell ref="F162:F167"/>
    <mergeCell ref="AH156:AH161"/>
    <mergeCell ref="AI156:AI161"/>
    <mergeCell ref="AP156:AP161"/>
    <mergeCell ref="AQ156:AQ161"/>
    <mergeCell ref="O156:O161"/>
    <mergeCell ref="P156:P161"/>
    <mergeCell ref="AA156:AA161"/>
    <mergeCell ref="AB156:AB161"/>
    <mergeCell ref="E144:E149"/>
    <mergeCell ref="F144:F149"/>
    <mergeCell ref="AP144:AP149"/>
    <mergeCell ref="AQ144:AQ149"/>
    <mergeCell ref="G144:G149"/>
    <mergeCell ref="H144:H149"/>
    <mergeCell ref="I144:I149"/>
    <mergeCell ref="J144:J149"/>
    <mergeCell ref="K144:K149"/>
    <mergeCell ref="L144:L149"/>
    <mergeCell ref="K150:K155"/>
    <mergeCell ref="L150:L155"/>
    <mergeCell ref="AA162:AA167"/>
    <mergeCell ref="AB162:AB167"/>
    <mergeCell ref="G162:G167"/>
    <mergeCell ref="H162:H167"/>
    <mergeCell ref="AC144:AC149"/>
    <mergeCell ref="AE144:AE149"/>
    <mergeCell ref="AF144:AF149"/>
    <mergeCell ref="AC150:AC155"/>
    <mergeCell ref="AE150:AE155"/>
    <mergeCell ref="AF150:AF155"/>
    <mergeCell ref="AG150:AG155"/>
    <mergeCell ref="AG144:AG149"/>
    <mergeCell ref="A132:A137"/>
    <mergeCell ref="C132:C137"/>
    <mergeCell ref="D132:D137"/>
    <mergeCell ref="F132:F137"/>
    <mergeCell ref="A138:A143"/>
    <mergeCell ref="C138:C143"/>
    <mergeCell ref="D138:D143"/>
    <mergeCell ref="E138:E143"/>
    <mergeCell ref="F138:F143"/>
    <mergeCell ref="G138:G143"/>
    <mergeCell ref="H138:H143"/>
    <mergeCell ref="A144:A149"/>
    <mergeCell ref="C144:C149"/>
    <mergeCell ref="D144:D149"/>
    <mergeCell ref="AE138:AE143"/>
    <mergeCell ref="O138:O143"/>
    <mergeCell ref="P138:P143"/>
    <mergeCell ref="AA138:AA143"/>
    <mergeCell ref="AB138:AB143"/>
    <mergeCell ref="I138:I143"/>
    <mergeCell ref="J138:J143"/>
    <mergeCell ref="K138:K143"/>
    <mergeCell ref="L138:L143"/>
    <mergeCell ref="M138:M143"/>
    <mergeCell ref="N138:N143"/>
    <mergeCell ref="J132:J137"/>
    <mergeCell ref="K132:K137"/>
    <mergeCell ref="AH150:AH155"/>
    <mergeCell ref="AI150:AI155"/>
    <mergeCell ref="M150:M155"/>
    <mergeCell ref="N150:N155"/>
    <mergeCell ref="O150:O155"/>
    <mergeCell ref="P150:P155"/>
    <mergeCell ref="AA150:AA155"/>
    <mergeCell ref="AB150:AB155"/>
    <mergeCell ref="G150:G155"/>
    <mergeCell ref="H150:H155"/>
    <mergeCell ref="I150:I155"/>
    <mergeCell ref="J150:J155"/>
    <mergeCell ref="A150:A155"/>
    <mergeCell ref="C150:C155"/>
    <mergeCell ref="D150:D155"/>
    <mergeCell ref="AF156:AF161"/>
    <mergeCell ref="AG156:AG161"/>
    <mergeCell ref="AC156:AC161"/>
    <mergeCell ref="AE156:AE161"/>
    <mergeCell ref="I156:I161"/>
    <mergeCell ref="J156:J161"/>
    <mergeCell ref="K156:K161"/>
    <mergeCell ref="L156:L161"/>
    <mergeCell ref="M156:M161"/>
    <mergeCell ref="N156:N161"/>
    <mergeCell ref="A156:A161"/>
    <mergeCell ref="C156:C161"/>
    <mergeCell ref="D156:D161"/>
    <mergeCell ref="E156:E161"/>
    <mergeCell ref="F156:F161"/>
    <mergeCell ref="G156:G161"/>
    <mergeCell ref="H156:H161"/>
    <mergeCell ref="AP162:AP167"/>
    <mergeCell ref="AQ162:AQ167"/>
    <mergeCell ref="A168:A173"/>
    <mergeCell ref="C168:C173"/>
    <mergeCell ref="D168:D173"/>
    <mergeCell ref="E168:E173"/>
    <mergeCell ref="F168:F173"/>
    <mergeCell ref="G168:G173"/>
    <mergeCell ref="H168:H173"/>
    <mergeCell ref="AC162:AC167"/>
    <mergeCell ref="AE162:AE167"/>
    <mergeCell ref="AF162:AF167"/>
    <mergeCell ref="AG162:AG167"/>
    <mergeCell ref="AH162:AH167"/>
    <mergeCell ref="AI162:AI167"/>
    <mergeCell ref="M162:M167"/>
    <mergeCell ref="N162:N167"/>
    <mergeCell ref="O162:O167"/>
    <mergeCell ref="P162:P167"/>
    <mergeCell ref="I162:I167"/>
    <mergeCell ref="J162:J167"/>
    <mergeCell ref="K162:K167"/>
    <mergeCell ref="L162:L167"/>
    <mergeCell ref="A162:A167"/>
    <mergeCell ref="C162:C167"/>
    <mergeCell ref="D162:D167"/>
    <mergeCell ref="E174:E179"/>
    <mergeCell ref="F174:F179"/>
    <mergeCell ref="AF168:AF173"/>
    <mergeCell ref="AG168:AG173"/>
    <mergeCell ref="AH168:AH173"/>
    <mergeCell ref="AI168:AI173"/>
    <mergeCell ref="AP168:AP173"/>
    <mergeCell ref="AQ168:AQ173"/>
    <mergeCell ref="O168:O173"/>
    <mergeCell ref="P168:P173"/>
    <mergeCell ref="AA168:AA173"/>
    <mergeCell ref="AB168:AB173"/>
    <mergeCell ref="AC168:AC173"/>
    <mergeCell ref="AE168:AE173"/>
    <mergeCell ref="I168:I173"/>
    <mergeCell ref="J168:J173"/>
    <mergeCell ref="K168:K173"/>
    <mergeCell ref="L168:L173"/>
    <mergeCell ref="M168:M173"/>
    <mergeCell ref="N168:N173"/>
    <mergeCell ref="AP174:AP179"/>
    <mergeCell ref="AQ174:AQ179"/>
    <mergeCell ref="AH174:AH179"/>
    <mergeCell ref="AI174:AI179"/>
    <mergeCell ref="M174:M179"/>
    <mergeCell ref="N174:N179"/>
    <mergeCell ref="O174:O179"/>
    <mergeCell ref="P174:P179"/>
    <mergeCell ref="AA174:AA179"/>
    <mergeCell ref="AB174:AB179"/>
    <mergeCell ref="G174:G179"/>
    <mergeCell ref="H174:H179"/>
    <mergeCell ref="I174:I179"/>
    <mergeCell ref="J174:J179"/>
    <mergeCell ref="K174:K179"/>
    <mergeCell ref="L174:L179"/>
    <mergeCell ref="A174:A179"/>
    <mergeCell ref="C174:C179"/>
    <mergeCell ref="D174:D179"/>
    <mergeCell ref="I384:I389"/>
    <mergeCell ref="J384:J389"/>
    <mergeCell ref="K384:K389"/>
    <mergeCell ref="L384:L389"/>
    <mergeCell ref="M384:M389"/>
    <mergeCell ref="N384:N389"/>
    <mergeCell ref="A384:A389"/>
    <mergeCell ref="C384:C389"/>
    <mergeCell ref="D384:D389"/>
    <mergeCell ref="E384:E389"/>
    <mergeCell ref="F384:F389"/>
    <mergeCell ref="G384:G389"/>
    <mergeCell ref="H384:H389"/>
    <mergeCell ref="A198:A203"/>
    <mergeCell ref="C198:C203"/>
    <mergeCell ref="D198:D203"/>
    <mergeCell ref="E198:E203"/>
    <mergeCell ref="F198:F203"/>
    <mergeCell ref="G198:G203"/>
    <mergeCell ref="H198:H203"/>
    <mergeCell ref="A192:A197"/>
    <mergeCell ref="C192:C197"/>
    <mergeCell ref="D192:D197"/>
    <mergeCell ref="E192:E197"/>
    <mergeCell ref="F192:F197"/>
    <mergeCell ref="AC174:AC179"/>
    <mergeCell ref="AE174:AE179"/>
    <mergeCell ref="AF174:AF179"/>
    <mergeCell ref="AG174:AG179"/>
    <mergeCell ref="E180:E185"/>
    <mergeCell ref="F180:F185"/>
    <mergeCell ref="C180:C185"/>
    <mergeCell ref="D180:D185"/>
    <mergeCell ref="AP192:AP197"/>
    <mergeCell ref="AQ192:AQ197"/>
    <mergeCell ref="AP180:AP185"/>
    <mergeCell ref="AQ180:AQ185"/>
    <mergeCell ref="A186:A191"/>
    <mergeCell ref="C186:C191"/>
    <mergeCell ref="D186:D191"/>
    <mergeCell ref="E186:E191"/>
    <mergeCell ref="F186:F191"/>
    <mergeCell ref="G186:G191"/>
    <mergeCell ref="H186:H191"/>
    <mergeCell ref="AC180:AC185"/>
    <mergeCell ref="AE180:AE185"/>
    <mergeCell ref="AF180:AF185"/>
    <mergeCell ref="AG180:AG185"/>
    <mergeCell ref="AH180:AH185"/>
    <mergeCell ref="AI180:AI185"/>
    <mergeCell ref="M180:M185"/>
    <mergeCell ref="N180:N185"/>
    <mergeCell ref="O180:O185"/>
    <mergeCell ref="P180:P185"/>
    <mergeCell ref="AA180:AA185"/>
    <mergeCell ref="AB180:AB185"/>
    <mergeCell ref="G180:G185"/>
    <mergeCell ref="H180:H185"/>
    <mergeCell ref="I180:I185"/>
    <mergeCell ref="J180:J185"/>
    <mergeCell ref="K180:K185"/>
    <mergeCell ref="L180:L185"/>
    <mergeCell ref="A180:A185"/>
    <mergeCell ref="AF186:AF191"/>
    <mergeCell ref="AG186:AG191"/>
    <mergeCell ref="AH186:AH191"/>
    <mergeCell ref="AI186:AI191"/>
    <mergeCell ref="AP186:AP191"/>
    <mergeCell ref="AQ186:AQ191"/>
    <mergeCell ref="O186:O191"/>
    <mergeCell ref="P186:P191"/>
    <mergeCell ref="AA186:AA191"/>
    <mergeCell ref="AB186:AB191"/>
    <mergeCell ref="AC186:AC191"/>
    <mergeCell ref="AE186:AE191"/>
    <mergeCell ref="I186:I191"/>
    <mergeCell ref="J186:J191"/>
    <mergeCell ref="K186:K191"/>
    <mergeCell ref="L186:L191"/>
    <mergeCell ref="M186:M191"/>
    <mergeCell ref="N186:N191"/>
    <mergeCell ref="AC192:AC197"/>
    <mergeCell ref="AE192:AE197"/>
    <mergeCell ref="AF192:AF197"/>
    <mergeCell ref="AG192:AG197"/>
    <mergeCell ref="AH192:AH197"/>
    <mergeCell ref="AI192:AI197"/>
    <mergeCell ref="M192:M197"/>
    <mergeCell ref="N192:N197"/>
    <mergeCell ref="O192:O197"/>
    <mergeCell ref="P192:P197"/>
    <mergeCell ref="AA192:AA197"/>
    <mergeCell ref="AB192:AB197"/>
    <mergeCell ref="G192:G197"/>
    <mergeCell ref="H192:H197"/>
    <mergeCell ref="I192:I197"/>
    <mergeCell ref="J192:J197"/>
    <mergeCell ref="K192:K197"/>
    <mergeCell ref="L192:L197"/>
    <mergeCell ref="AF198:AF203"/>
    <mergeCell ref="AG198:AG203"/>
    <mergeCell ref="AH198:AH203"/>
    <mergeCell ref="AI198:AI203"/>
    <mergeCell ref="AP198:AP203"/>
    <mergeCell ref="AQ198:AQ203"/>
    <mergeCell ref="O198:O203"/>
    <mergeCell ref="P198:P203"/>
    <mergeCell ref="AA198:AA203"/>
    <mergeCell ref="AB198:AB203"/>
    <mergeCell ref="AC198:AC203"/>
    <mergeCell ref="AE198:AE203"/>
    <mergeCell ref="I198:I203"/>
    <mergeCell ref="J198:J203"/>
    <mergeCell ref="K198:K203"/>
    <mergeCell ref="L198:L203"/>
    <mergeCell ref="M198:M203"/>
    <mergeCell ref="N198:N203"/>
    <mergeCell ref="A462:A467"/>
    <mergeCell ref="C462:C467"/>
    <mergeCell ref="D462:D467"/>
    <mergeCell ref="E462:E467"/>
    <mergeCell ref="F462:F467"/>
    <mergeCell ref="G462:G467"/>
    <mergeCell ref="H462:H467"/>
    <mergeCell ref="AF462:AF467"/>
    <mergeCell ref="AG462:AG467"/>
    <mergeCell ref="AH462:AH467"/>
    <mergeCell ref="AI462:AI467"/>
    <mergeCell ref="AI204:AI209"/>
    <mergeCell ref="AP204:AP209"/>
    <mergeCell ref="AQ204:AQ209"/>
    <mergeCell ref="M204:M209"/>
    <mergeCell ref="N204:N209"/>
    <mergeCell ref="O204:O209"/>
    <mergeCell ref="P204:P209"/>
    <mergeCell ref="AA204:AA209"/>
    <mergeCell ref="AC204:AC209"/>
    <mergeCell ref="G204:G209"/>
    <mergeCell ref="H204:H209"/>
    <mergeCell ref="I204:I209"/>
    <mergeCell ref="J204:J209"/>
    <mergeCell ref="K204:K209"/>
    <mergeCell ref="L204:L209"/>
    <mergeCell ref="AP462:AP467"/>
    <mergeCell ref="AQ462:AQ467"/>
    <mergeCell ref="O462:O467"/>
    <mergeCell ref="P462:P467"/>
    <mergeCell ref="AA462:AA467"/>
    <mergeCell ref="AB462:AB467"/>
    <mergeCell ref="AC462:AC467"/>
    <mergeCell ref="AE462:AE467"/>
    <mergeCell ref="I462:I467"/>
    <mergeCell ref="J462:J467"/>
    <mergeCell ref="K462:K467"/>
    <mergeCell ref="L462:L467"/>
    <mergeCell ref="M462:M467"/>
    <mergeCell ref="N462:N467"/>
    <mergeCell ref="G222:G227"/>
    <mergeCell ref="H222:H227"/>
    <mergeCell ref="AH216:AH221"/>
    <mergeCell ref="AI210:AI215"/>
    <mergeCell ref="AP210:AP215"/>
    <mergeCell ref="AQ210:AQ215"/>
    <mergeCell ref="M210:M215"/>
    <mergeCell ref="N210:N215"/>
    <mergeCell ref="O210:O215"/>
    <mergeCell ref="P210:P215"/>
    <mergeCell ref="AA210:AA215"/>
    <mergeCell ref="AC210:AC215"/>
    <mergeCell ref="G210:G215"/>
    <mergeCell ref="H210:H215"/>
    <mergeCell ref="I210:I215"/>
    <mergeCell ref="J210:J215"/>
    <mergeCell ref="K210:K215"/>
    <mergeCell ref="L210:L215"/>
    <mergeCell ref="AP216:AP221"/>
    <mergeCell ref="AQ216:AQ221"/>
    <mergeCell ref="AC216:AC221"/>
    <mergeCell ref="AE216:AE221"/>
    <mergeCell ref="AG216:AG221"/>
    <mergeCell ref="M216:M221"/>
    <mergeCell ref="AI216:AI221"/>
    <mergeCell ref="N216:N221"/>
    <mergeCell ref="O216:O221"/>
    <mergeCell ref="P216:P221"/>
    <mergeCell ref="AA216:AA221"/>
    <mergeCell ref="AF222:AF227"/>
    <mergeCell ref="AG222:AG227"/>
    <mergeCell ref="AH222:AH227"/>
    <mergeCell ref="A228:A233"/>
    <mergeCell ref="C228:C233"/>
    <mergeCell ref="D228:D233"/>
    <mergeCell ref="G228:G233"/>
    <mergeCell ref="H228:H233"/>
    <mergeCell ref="L228:L233"/>
    <mergeCell ref="A204:A209"/>
    <mergeCell ref="C204:C209"/>
    <mergeCell ref="D204:D209"/>
    <mergeCell ref="E204:E209"/>
    <mergeCell ref="F204:F209"/>
    <mergeCell ref="E216:E221"/>
    <mergeCell ref="F216:F221"/>
    <mergeCell ref="AE210:AE215"/>
    <mergeCell ref="AG210:AG215"/>
    <mergeCell ref="AH210:AH215"/>
    <mergeCell ref="AE204:AE209"/>
    <mergeCell ref="AG204:AG209"/>
    <mergeCell ref="AH204:AH209"/>
    <mergeCell ref="A210:A215"/>
    <mergeCell ref="C210:C215"/>
    <mergeCell ref="D210:D215"/>
    <mergeCell ref="E210:E215"/>
    <mergeCell ref="F210:F215"/>
    <mergeCell ref="A222:A227"/>
    <mergeCell ref="C222:C227"/>
    <mergeCell ref="D222:D227"/>
    <mergeCell ref="E222:E227"/>
    <mergeCell ref="F222:F227"/>
    <mergeCell ref="M228:M233"/>
    <mergeCell ref="N228:N233"/>
    <mergeCell ref="O228:O233"/>
    <mergeCell ref="P228:P233"/>
    <mergeCell ref="AA228:AA233"/>
    <mergeCell ref="AB228:AB233"/>
    <mergeCell ref="I228:I233"/>
    <mergeCell ref="J228:J233"/>
    <mergeCell ref="K228:K233"/>
    <mergeCell ref="G216:G221"/>
    <mergeCell ref="H216:H221"/>
    <mergeCell ref="I216:I221"/>
    <mergeCell ref="J216:J221"/>
    <mergeCell ref="K216:K221"/>
    <mergeCell ref="L216:L221"/>
    <mergeCell ref="A216:A221"/>
    <mergeCell ref="C216:C221"/>
    <mergeCell ref="D216:D221"/>
    <mergeCell ref="E228:E233"/>
    <mergeCell ref="F228:F233"/>
    <mergeCell ref="AP240:AP245"/>
    <mergeCell ref="AQ240:AQ245"/>
    <mergeCell ref="A234:A239"/>
    <mergeCell ref="C234:C239"/>
    <mergeCell ref="D234:D239"/>
    <mergeCell ref="E234:E239"/>
    <mergeCell ref="F234:F239"/>
    <mergeCell ref="G234:G239"/>
    <mergeCell ref="H234:H239"/>
    <mergeCell ref="AI222:AI227"/>
    <mergeCell ref="AP222:AP227"/>
    <mergeCell ref="AQ222:AQ227"/>
    <mergeCell ref="O222:O227"/>
    <mergeCell ref="P222:P227"/>
    <mergeCell ref="AA222:AA227"/>
    <mergeCell ref="AB222:AB227"/>
    <mergeCell ref="AC222:AC227"/>
    <mergeCell ref="AE222:AE227"/>
    <mergeCell ref="I222:I227"/>
    <mergeCell ref="J222:J227"/>
    <mergeCell ref="K222:K227"/>
    <mergeCell ref="L222:L227"/>
    <mergeCell ref="M222:M227"/>
    <mergeCell ref="N222:N227"/>
    <mergeCell ref="AP228:AP233"/>
    <mergeCell ref="AQ228:AQ233"/>
    <mergeCell ref="AC228:AC233"/>
    <mergeCell ref="AE228:AE233"/>
    <mergeCell ref="AF228:AF233"/>
    <mergeCell ref="AG228:AG233"/>
    <mergeCell ref="AH228:AH233"/>
    <mergeCell ref="AI228:AI233"/>
    <mergeCell ref="AF234:AF239"/>
    <mergeCell ref="AG234:AG239"/>
    <mergeCell ref="AH234:AH239"/>
    <mergeCell ref="AI234:AI239"/>
    <mergeCell ref="AP234:AP239"/>
    <mergeCell ref="AQ234:AQ239"/>
    <mergeCell ref="O234:O239"/>
    <mergeCell ref="P234:P239"/>
    <mergeCell ref="AA234:AA239"/>
    <mergeCell ref="AB234:AB239"/>
    <mergeCell ref="AC234:AC239"/>
    <mergeCell ref="AE234:AE239"/>
    <mergeCell ref="I234:I239"/>
    <mergeCell ref="J234:J239"/>
    <mergeCell ref="K234:K239"/>
    <mergeCell ref="L234:L239"/>
    <mergeCell ref="M234:M239"/>
    <mergeCell ref="N234:N239"/>
    <mergeCell ref="AP252:AP257"/>
    <mergeCell ref="AQ252:AQ257"/>
    <mergeCell ref="A246:A251"/>
    <mergeCell ref="C246:C251"/>
    <mergeCell ref="D246:D251"/>
    <mergeCell ref="E246:E251"/>
    <mergeCell ref="F246:F251"/>
    <mergeCell ref="G246:G251"/>
    <mergeCell ref="H246:H251"/>
    <mergeCell ref="AC240:AC245"/>
    <mergeCell ref="AE240:AE245"/>
    <mergeCell ref="AF240:AF245"/>
    <mergeCell ref="AG240:AG245"/>
    <mergeCell ref="AH240:AH245"/>
    <mergeCell ref="AI240:AI245"/>
    <mergeCell ref="M240:M245"/>
    <mergeCell ref="N240:N245"/>
    <mergeCell ref="O240:O245"/>
    <mergeCell ref="P240:P245"/>
    <mergeCell ref="AA240:AA245"/>
    <mergeCell ref="AB240:AB245"/>
    <mergeCell ref="G240:G245"/>
    <mergeCell ref="H240:H245"/>
    <mergeCell ref="I240:I245"/>
    <mergeCell ref="J240:J245"/>
    <mergeCell ref="K240:K245"/>
    <mergeCell ref="L240:L245"/>
    <mergeCell ref="A240:A245"/>
    <mergeCell ref="C240:C245"/>
    <mergeCell ref="D240:D245"/>
    <mergeCell ref="E240:E245"/>
    <mergeCell ref="F240:F245"/>
    <mergeCell ref="AF246:AF251"/>
    <mergeCell ref="AG246:AG251"/>
    <mergeCell ref="AH246:AH251"/>
    <mergeCell ref="AI246:AI251"/>
    <mergeCell ref="AP246:AP251"/>
    <mergeCell ref="AQ246:AQ251"/>
    <mergeCell ref="O246:O251"/>
    <mergeCell ref="P246:P251"/>
    <mergeCell ref="AA246:AA251"/>
    <mergeCell ref="AB246:AB251"/>
    <mergeCell ref="AC246:AC251"/>
    <mergeCell ref="AE246:AE251"/>
    <mergeCell ref="I246:I251"/>
    <mergeCell ref="J246:J251"/>
    <mergeCell ref="K246:K251"/>
    <mergeCell ref="L246:L251"/>
    <mergeCell ref="M246:M251"/>
    <mergeCell ref="N246:N251"/>
    <mergeCell ref="A258:A263"/>
    <mergeCell ref="C258:C263"/>
    <mergeCell ref="D258:D263"/>
    <mergeCell ref="E258:E263"/>
    <mergeCell ref="F258:F263"/>
    <mergeCell ref="G258:G263"/>
    <mergeCell ref="H258:H263"/>
    <mergeCell ref="AC252:AC257"/>
    <mergeCell ref="AE252:AE257"/>
    <mergeCell ref="AF252:AF257"/>
    <mergeCell ref="AG252:AG257"/>
    <mergeCell ref="AH252:AH257"/>
    <mergeCell ref="AI252:AI257"/>
    <mergeCell ref="M252:M257"/>
    <mergeCell ref="N252:N257"/>
    <mergeCell ref="O252:O257"/>
    <mergeCell ref="P252:P257"/>
    <mergeCell ref="AA252:AA257"/>
    <mergeCell ref="AB252:AB257"/>
    <mergeCell ref="G252:G257"/>
    <mergeCell ref="H252:H257"/>
    <mergeCell ref="I252:I257"/>
    <mergeCell ref="J252:J257"/>
    <mergeCell ref="K252:K257"/>
    <mergeCell ref="L252:L257"/>
    <mergeCell ref="A252:A257"/>
    <mergeCell ref="C252:C257"/>
    <mergeCell ref="D252:D257"/>
    <mergeCell ref="E252:E257"/>
    <mergeCell ref="F252:F257"/>
    <mergeCell ref="F264:F269"/>
    <mergeCell ref="AF258:AF263"/>
    <mergeCell ref="AG258:AG263"/>
    <mergeCell ref="AH258:AH263"/>
    <mergeCell ref="AI258:AI263"/>
    <mergeCell ref="AP258:AP263"/>
    <mergeCell ref="AQ258:AQ263"/>
    <mergeCell ref="O258:O263"/>
    <mergeCell ref="P258:P263"/>
    <mergeCell ref="AA258:AA263"/>
    <mergeCell ref="AB258:AB263"/>
    <mergeCell ref="AC258:AC263"/>
    <mergeCell ref="AE258:AE263"/>
    <mergeCell ref="I258:I263"/>
    <mergeCell ref="J258:J263"/>
    <mergeCell ref="K258:K263"/>
    <mergeCell ref="L258:L263"/>
    <mergeCell ref="M258:M263"/>
    <mergeCell ref="N258:N263"/>
    <mergeCell ref="AP264:AP269"/>
    <mergeCell ref="AQ264:AQ269"/>
    <mergeCell ref="A426:A431"/>
    <mergeCell ref="C426:C431"/>
    <mergeCell ref="D426:D431"/>
    <mergeCell ref="E426:E431"/>
    <mergeCell ref="F426:F431"/>
    <mergeCell ref="G426:G431"/>
    <mergeCell ref="H426:H431"/>
    <mergeCell ref="AC264:AC269"/>
    <mergeCell ref="AE264:AE269"/>
    <mergeCell ref="AF264:AF269"/>
    <mergeCell ref="AG264:AG269"/>
    <mergeCell ref="AH264:AH269"/>
    <mergeCell ref="AI264:AI269"/>
    <mergeCell ref="M264:M269"/>
    <mergeCell ref="N264:N269"/>
    <mergeCell ref="O264:O269"/>
    <mergeCell ref="P264:P269"/>
    <mergeCell ref="AA264:AA269"/>
    <mergeCell ref="AB264:AB269"/>
    <mergeCell ref="G264:G269"/>
    <mergeCell ref="H264:H269"/>
    <mergeCell ref="E270:E275"/>
    <mergeCell ref="I264:I269"/>
    <mergeCell ref="J264:J269"/>
    <mergeCell ref="K264:K269"/>
    <mergeCell ref="L264:L269"/>
    <mergeCell ref="A264:A269"/>
    <mergeCell ref="C264:C269"/>
    <mergeCell ref="D264:D269"/>
    <mergeCell ref="E264:E269"/>
    <mergeCell ref="G270:G275"/>
    <mergeCell ref="H270:H275"/>
    <mergeCell ref="E456:E461"/>
    <mergeCell ref="F456:F461"/>
    <mergeCell ref="G456:G461"/>
    <mergeCell ref="H456:H461"/>
    <mergeCell ref="AC432:AC437"/>
    <mergeCell ref="AE432:AE437"/>
    <mergeCell ref="AF432:AF437"/>
    <mergeCell ref="AG432:AG437"/>
    <mergeCell ref="AH432:AH437"/>
    <mergeCell ref="AI432:AI437"/>
    <mergeCell ref="M432:M437"/>
    <mergeCell ref="N432:N437"/>
    <mergeCell ref="O432:O437"/>
    <mergeCell ref="P432:P437"/>
    <mergeCell ref="AA432:AA437"/>
    <mergeCell ref="AB432:AB437"/>
    <mergeCell ref="G432:G437"/>
    <mergeCell ref="H432:H437"/>
    <mergeCell ref="I432:I437"/>
    <mergeCell ref="J432:J437"/>
    <mergeCell ref="K432:K437"/>
    <mergeCell ref="L432:L437"/>
    <mergeCell ref="E432:E437"/>
    <mergeCell ref="F432:F437"/>
    <mergeCell ref="AH444:AH449"/>
    <mergeCell ref="AI444:AI449"/>
    <mergeCell ref="AE444:AE449"/>
    <mergeCell ref="AG444:AG449"/>
    <mergeCell ref="M444:M449"/>
    <mergeCell ref="N444:N449"/>
    <mergeCell ref="O444:O449"/>
    <mergeCell ref="P444:P449"/>
    <mergeCell ref="I270:I275"/>
    <mergeCell ref="J270:J275"/>
    <mergeCell ref="K270:K275"/>
    <mergeCell ref="L270:L275"/>
    <mergeCell ref="A270:A275"/>
    <mergeCell ref="C270:C275"/>
    <mergeCell ref="D270:D275"/>
    <mergeCell ref="F270:F275"/>
    <mergeCell ref="K456:K461"/>
    <mergeCell ref="L456:L461"/>
    <mergeCell ref="M456:M461"/>
    <mergeCell ref="N456:N461"/>
    <mergeCell ref="AP432:AP437"/>
    <mergeCell ref="AQ432:AQ437"/>
    <mergeCell ref="AF426:AF431"/>
    <mergeCell ref="AG426:AG431"/>
    <mergeCell ref="AH426:AH431"/>
    <mergeCell ref="AI426:AI431"/>
    <mergeCell ref="AP426:AP431"/>
    <mergeCell ref="AQ426:AQ431"/>
    <mergeCell ref="O426:O431"/>
    <mergeCell ref="P426:P431"/>
    <mergeCell ref="AA426:AA431"/>
    <mergeCell ref="AB426:AB431"/>
    <mergeCell ref="AP270:AP275"/>
    <mergeCell ref="AC426:AC431"/>
    <mergeCell ref="AE426:AE431"/>
    <mergeCell ref="AF384:AF389"/>
    <mergeCell ref="AG384:AG389"/>
    <mergeCell ref="AH384:AH389"/>
    <mergeCell ref="AP282:AP287"/>
    <mergeCell ref="AQ282:AQ287"/>
    <mergeCell ref="AC282:AC287"/>
    <mergeCell ref="AE282:AE287"/>
    <mergeCell ref="AF282:AF287"/>
    <mergeCell ref="AG282:AG287"/>
    <mergeCell ref="AH282:AH287"/>
    <mergeCell ref="AI282:AI287"/>
    <mergeCell ref="M282:M287"/>
    <mergeCell ref="N282:N287"/>
    <mergeCell ref="O282:O287"/>
    <mergeCell ref="P282:P287"/>
    <mergeCell ref="AQ270:AQ275"/>
    <mergeCell ref="A276:A281"/>
    <mergeCell ref="C276:C281"/>
    <mergeCell ref="D276:D281"/>
    <mergeCell ref="E276:E281"/>
    <mergeCell ref="F276:F281"/>
    <mergeCell ref="G276:G281"/>
    <mergeCell ref="H276:H281"/>
    <mergeCell ref="AC270:AC275"/>
    <mergeCell ref="AE270:AE275"/>
    <mergeCell ref="AF270:AF275"/>
    <mergeCell ref="AG270:AG275"/>
    <mergeCell ref="AH270:AH275"/>
    <mergeCell ref="AI270:AI275"/>
    <mergeCell ref="M270:M275"/>
    <mergeCell ref="N270:N275"/>
    <mergeCell ref="O270:O275"/>
    <mergeCell ref="P270:P275"/>
    <mergeCell ref="AA270:AA275"/>
    <mergeCell ref="AB270:AB275"/>
    <mergeCell ref="AF276:AF281"/>
    <mergeCell ref="AG276:AG281"/>
    <mergeCell ref="AH276:AH281"/>
    <mergeCell ref="AI276:AI281"/>
    <mergeCell ref="AP276:AP281"/>
    <mergeCell ref="AQ276:AQ281"/>
    <mergeCell ref="O276:O281"/>
    <mergeCell ref="P276:P281"/>
    <mergeCell ref="AA276:AA281"/>
    <mergeCell ref="AB276:AB281"/>
    <mergeCell ref="AC276:AC281"/>
    <mergeCell ref="AE276:AE281"/>
    <mergeCell ref="I276:I281"/>
    <mergeCell ref="J276:J281"/>
    <mergeCell ref="K276:K281"/>
    <mergeCell ref="L276:L281"/>
    <mergeCell ref="M276:M281"/>
    <mergeCell ref="N276:N281"/>
    <mergeCell ref="AP438:AP443"/>
    <mergeCell ref="AQ438:AQ443"/>
    <mergeCell ref="AE318:AE323"/>
    <mergeCell ref="AG318:AG323"/>
    <mergeCell ref="AA282:AA287"/>
    <mergeCell ref="AB282:AB287"/>
    <mergeCell ref="M426:M431"/>
    <mergeCell ref="N426:N431"/>
    <mergeCell ref="M288:M293"/>
    <mergeCell ref="N288:N293"/>
    <mergeCell ref="AC438:AC443"/>
    <mergeCell ref="AE438:AE443"/>
    <mergeCell ref="AF438:AF443"/>
    <mergeCell ref="AG438:AG443"/>
    <mergeCell ref="AH438:AH443"/>
    <mergeCell ref="AI438:AI443"/>
    <mergeCell ref="AF456:AF461"/>
    <mergeCell ref="AG456:AG461"/>
    <mergeCell ref="AH456:AH461"/>
    <mergeCell ref="AI456:AI461"/>
    <mergeCell ref="AP456:AP461"/>
    <mergeCell ref="AQ456:AQ461"/>
    <mergeCell ref="O456:O461"/>
    <mergeCell ref="P456:P461"/>
    <mergeCell ref="AA456:AA461"/>
    <mergeCell ref="AB456:AB461"/>
    <mergeCell ref="AC456:AC461"/>
    <mergeCell ref="AE456:AE461"/>
    <mergeCell ref="I456:I461"/>
    <mergeCell ref="J456:J461"/>
    <mergeCell ref="A288:A293"/>
    <mergeCell ref="C288:C293"/>
    <mergeCell ref="D288:D293"/>
    <mergeCell ref="AI384:AI389"/>
    <mergeCell ref="AP384:AP389"/>
    <mergeCell ref="AQ384:AQ389"/>
    <mergeCell ref="O384:O389"/>
    <mergeCell ref="P384:P389"/>
    <mergeCell ref="AA384:AA389"/>
    <mergeCell ref="AB384:AB389"/>
    <mergeCell ref="AC384:AC389"/>
    <mergeCell ref="AE384:AE389"/>
    <mergeCell ref="AP444:AP449"/>
    <mergeCell ref="A456:A461"/>
    <mergeCell ref="C456:C461"/>
    <mergeCell ref="D456:D461"/>
    <mergeCell ref="AI306:AI311"/>
    <mergeCell ref="E324:E329"/>
    <mergeCell ref="G282:G287"/>
    <mergeCell ref="H282:H287"/>
    <mergeCell ref="I282:I287"/>
    <mergeCell ref="J282:J287"/>
    <mergeCell ref="K282:K287"/>
    <mergeCell ref="L282:L287"/>
    <mergeCell ref="A282:A287"/>
    <mergeCell ref="C282:C287"/>
    <mergeCell ref="D282:D287"/>
    <mergeCell ref="E438:E443"/>
    <mergeCell ref="F438:F443"/>
    <mergeCell ref="E282:E287"/>
    <mergeCell ref="F282:F287"/>
    <mergeCell ref="A432:A437"/>
    <mergeCell ref="C432:C437"/>
    <mergeCell ref="D432:D437"/>
    <mergeCell ref="I426:I431"/>
    <mergeCell ref="J426:J431"/>
    <mergeCell ref="K426:K431"/>
    <mergeCell ref="L426:L431"/>
    <mergeCell ref="K288:K293"/>
    <mergeCell ref="L288:L293"/>
    <mergeCell ref="E288:E293"/>
    <mergeCell ref="F288:F293"/>
    <mergeCell ref="G288:G293"/>
    <mergeCell ref="H288:H293"/>
    <mergeCell ref="A438:A443"/>
    <mergeCell ref="C438:C443"/>
    <mergeCell ref="D438:D443"/>
    <mergeCell ref="A306:A311"/>
    <mergeCell ref="C306:C311"/>
    <mergeCell ref="D306:D311"/>
    <mergeCell ref="M438:M443"/>
    <mergeCell ref="N438:N443"/>
    <mergeCell ref="O438:O443"/>
    <mergeCell ref="P438:P443"/>
    <mergeCell ref="AA438:AA443"/>
    <mergeCell ref="AB438:AB443"/>
    <mergeCell ref="G438:G443"/>
    <mergeCell ref="H438:H443"/>
    <mergeCell ref="I438:I443"/>
    <mergeCell ref="J438:J443"/>
    <mergeCell ref="K438:K443"/>
    <mergeCell ref="L438:L443"/>
    <mergeCell ref="AE294:AE299"/>
    <mergeCell ref="AG294:AG299"/>
    <mergeCell ref="AH294:AH299"/>
    <mergeCell ref="AI294:AI299"/>
    <mergeCell ref="AG306:AG311"/>
    <mergeCell ref="AH306:AH311"/>
    <mergeCell ref="I300:I305"/>
    <mergeCell ref="J300:J305"/>
    <mergeCell ref="K300:K305"/>
    <mergeCell ref="L300:L305"/>
    <mergeCell ref="AG300:AG305"/>
    <mergeCell ref="AH300:AH305"/>
    <mergeCell ref="AI300:AI305"/>
    <mergeCell ref="N294:N299"/>
    <mergeCell ref="AE306:AE311"/>
    <mergeCell ref="N312:N317"/>
    <mergeCell ref="O312:O317"/>
    <mergeCell ref="P312:P317"/>
    <mergeCell ref="AA312:AA317"/>
    <mergeCell ref="AC312:AC317"/>
    <mergeCell ref="AH288:AH293"/>
    <mergeCell ref="AI288:AI293"/>
    <mergeCell ref="AP288:AP293"/>
    <mergeCell ref="AQ288:AQ293"/>
    <mergeCell ref="A294:A299"/>
    <mergeCell ref="C294:C299"/>
    <mergeCell ref="D294:D299"/>
    <mergeCell ref="E294:E299"/>
    <mergeCell ref="F294:F299"/>
    <mergeCell ref="O288:O293"/>
    <mergeCell ref="P288:P293"/>
    <mergeCell ref="AA288:AA293"/>
    <mergeCell ref="AC288:AC293"/>
    <mergeCell ref="AE288:AE293"/>
    <mergeCell ref="AG288:AG293"/>
    <mergeCell ref="I288:I293"/>
    <mergeCell ref="J288:J293"/>
    <mergeCell ref="A300:A305"/>
    <mergeCell ref="C300:C305"/>
    <mergeCell ref="D300:D305"/>
    <mergeCell ref="E300:E305"/>
    <mergeCell ref="F300:F305"/>
    <mergeCell ref="AE300:AE305"/>
    <mergeCell ref="AP294:AP299"/>
    <mergeCell ref="AQ294:AQ299"/>
    <mergeCell ref="M294:M299"/>
    <mergeCell ref="O294:O299"/>
    <mergeCell ref="P294:P299"/>
    <mergeCell ref="AA294:AA299"/>
    <mergeCell ref="AC294:AC299"/>
    <mergeCell ref="G294:G299"/>
    <mergeCell ref="H294:H299"/>
    <mergeCell ref="I294:I299"/>
    <mergeCell ref="J294:J299"/>
    <mergeCell ref="K294:K299"/>
    <mergeCell ref="L294:L299"/>
    <mergeCell ref="O300:O305"/>
    <mergeCell ref="P300:P305"/>
    <mergeCell ref="AA300:AA305"/>
    <mergeCell ref="AC300:AC305"/>
    <mergeCell ref="G300:G305"/>
    <mergeCell ref="H300:H305"/>
    <mergeCell ref="AP300:AP305"/>
    <mergeCell ref="AQ300:AQ305"/>
    <mergeCell ref="M300:M305"/>
    <mergeCell ref="N300:N305"/>
    <mergeCell ref="A312:A317"/>
    <mergeCell ref="C312:C317"/>
    <mergeCell ref="D312:D317"/>
    <mergeCell ref="E312:E317"/>
    <mergeCell ref="F312:F317"/>
    <mergeCell ref="AI318:AI323"/>
    <mergeCell ref="AP318:AP323"/>
    <mergeCell ref="AQ318:AQ323"/>
    <mergeCell ref="M318:M323"/>
    <mergeCell ref="N318:N323"/>
    <mergeCell ref="O318:O323"/>
    <mergeCell ref="P318:P323"/>
    <mergeCell ref="AA318:AA323"/>
    <mergeCell ref="AC318:AC323"/>
    <mergeCell ref="G318:G323"/>
    <mergeCell ref="H318:H323"/>
    <mergeCell ref="I318:I323"/>
    <mergeCell ref="J318:J323"/>
    <mergeCell ref="K318:K323"/>
    <mergeCell ref="L318:L323"/>
    <mergeCell ref="A318:A323"/>
    <mergeCell ref="C318:C323"/>
    <mergeCell ref="AE312:AE317"/>
    <mergeCell ref="AI312:AI317"/>
    <mergeCell ref="AP312:AP317"/>
    <mergeCell ref="AQ312:AQ317"/>
    <mergeCell ref="M312:M317"/>
    <mergeCell ref="D336:D341"/>
    <mergeCell ref="AP306:AP311"/>
    <mergeCell ref="AQ306:AQ311"/>
    <mergeCell ref="M306:M311"/>
    <mergeCell ref="N306:N311"/>
    <mergeCell ref="O306:O311"/>
    <mergeCell ref="P306:P311"/>
    <mergeCell ref="AA306:AA311"/>
    <mergeCell ref="AC306:AC311"/>
    <mergeCell ref="G306:G311"/>
    <mergeCell ref="H306:H311"/>
    <mergeCell ref="I306:I311"/>
    <mergeCell ref="J306:J311"/>
    <mergeCell ref="K306:K311"/>
    <mergeCell ref="L306:L311"/>
    <mergeCell ref="AG312:AG317"/>
    <mergeCell ref="AH312:AH317"/>
    <mergeCell ref="D318:D323"/>
    <mergeCell ref="E318:E323"/>
    <mergeCell ref="F318:F323"/>
    <mergeCell ref="AH318:AH323"/>
    <mergeCell ref="G312:G317"/>
    <mergeCell ref="H312:H317"/>
    <mergeCell ref="I312:I317"/>
    <mergeCell ref="J312:J317"/>
    <mergeCell ref="K312:K317"/>
    <mergeCell ref="L312:L317"/>
    <mergeCell ref="E306:E311"/>
    <mergeCell ref="F306:F311"/>
    <mergeCell ref="A330:A335"/>
    <mergeCell ref="C330:C335"/>
    <mergeCell ref="D330:D335"/>
    <mergeCell ref="E330:E335"/>
    <mergeCell ref="F330:F335"/>
    <mergeCell ref="AE324:AE329"/>
    <mergeCell ref="AG324:AG329"/>
    <mergeCell ref="AH324:AH329"/>
    <mergeCell ref="AI324:AI329"/>
    <mergeCell ref="AP324:AP329"/>
    <mergeCell ref="AQ324:AQ329"/>
    <mergeCell ref="M324:M329"/>
    <mergeCell ref="N324:N329"/>
    <mergeCell ref="O324:O329"/>
    <mergeCell ref="P324:P329"/>
    <mergeCell ref="AA324:AA329"/>
    <mergeCell ref="AC324:AC329"/>
    <mergeCell ref="G324:G329"/>
    <mergeCell ref="H324:H329"/>
    <mergeCell ref="I324:I329"/>
    <mergeCell ref="J324:J329"/>
    <mergeCell ref="K324:K329"/>
    <mergeCell ref="L324:L329"/>
    <mergeCell ref="A324:A329"/>
    <mergeCell ref="C324:C329"/>
    <mergeCell ref="D324:D329"/>
    <mergeCell ref="A342:A347"/>
    <mergeCell ref="C342:C347"/>
    <mergeCell ref="D342:D347"/>
    <mergeCell ref="E342:E347"/>
    <mergeCell ref="F342:F347"/>
    <mergeCell ref="G342:G347"/>
    <mergeCell ref="H342:H347"/>
    <mergeCell ref="AC336:AC341"/>
    <mergeCell ref="AE336:AE341"/>
    <mergeCell ref="AG336:AG341"/>
    <mergeCell ref="AH336:AH341"/>
    <mergeCell ref="AI336:AI341"/>
    <mergeCell ref="M336:M341"/>
    <mergeCell ref="N336:N341"/>
    <mergeCell ref="O336:O341"/>
    <mergeCell ref="P336:P341"/>
    <mergeCell ref="F324:F329"/>
    <mergeCell ref="E336:E341"/>
    <mergeCell ref="F336:F341"/>
    <mergeCell ref="AE330:AE335"/>
    <mergeCell ref="AG330:AG335"/>
    <mergeCell ref="AH330:AH335"/>
    <mergeCell ref="AI330:AI335"/>
    <mergeCell ref="AA336:AA341"/>
    <mergeCell ref="G336:G341"/>
    <mergeCell ref="H336:H341"/>
    <mergeCell ref="I336:I341"/>
    <mergeCell ref="J336:J341"/>
    <mergeCell ref="K336:K341"/>
    <mergeCell ref="L336:L341"/>
    <mergeCell ref="A336:A341"/>
    <mergeCell ref="C336:C341"/>
    <mergeCell ref="AP348:AP353"/>
    <mergeCell ref="AQ348:AQ353"/>
    <mergeCell ref="AC348:AC353"/>
    <mergeCell ref="AE348:AE353"/>
    <mergeCell ref="AF348:AF353"/>
    <mergeCell ref="AG348:AG353"/>
    <mergeCell ref="AH348:AH353"/>
    <mergeCell ref="AI348:AI353"/>
    <mergeCell ref="M348:M353"/>
    <mergeCell ref="AQ330:AQ335"/>
    <mergeCell ref="M330:M335"/>
    <mergeCell ref="N330:N335"/>
    <mergeCell ref="O330:O335"/>
    <mergeCell ref="P330:P335"/>
    <mergeCell ref="AA330:AA335"/>
    <mergeCell ref="AC330:AC335"/>
    <mergeCell ref="G330:G335"/>
    <mergeCell ref="H330:H335"/>
    <mergeCell ref="I330:I335"/>
    <mergeCell ref="J330:J335"/>
    <mergeCell ref="K330:K335"/>
    <mergeCell ref="L330:L335"/>
    <mergeCell ref="AP336:AP341"/>
    <mergeCell ref="AQ336:AQ341"/>
    <mergeCell ref="AP330:AP335"/>
    <mergeCell ref="AF342:AF347"/>
    <mergeCell ref="AG342:AG347"/>
    <mergeCell ref="AH342:AH347"/>
    <mergeCell ref="AI342:AI347"/>
    <mergeCell ref="AP342:AP347"/>
    <mergeCell ref="AQ342:AQ347"/>
    <mergeCell ref="O342:O347"/>
    <mergeCell ref="P342:P347"/>
    <mergeCell ref="AA342:AA347"/>
    <mergeCell ref="AB342:AB347"/>
    <mergeCell ref="AC342:AC347"/>
    <mergeCell ref="AE342:AE347"/>
    <mergeCell ref="I342:I347"/>
    <mergeCell ref="J342:J347"/>
    <mergeCell ref="K342:K347"/>
    <mergeCell ref="L342:L347"/>
    <mergeCell ref="M342:M347"/>
    <mergeCell ref="N342:N347"/>
    <mergeCell ref="G348:G353"/>
    <mergeCell ref="H348:H353"/>
    <mergeCell ref="I348:I353"/>
    <mergeCell ref="J348:J353"/>
    <mergeCell ref="K348:K353"/>
    <mergeCell ref="L348:L353"/>
    <mergeCell ref="A360:A365"/>
    <mergeCell ref="C360:C365"/>
    <mergeCell ref="D360:D365"/>
    <mergeCell ref="E360:E365"/>
    <mergeCell ref="F360:F365"/>
    <mergeCell ref="AF354:AF359"/>
    <mergeCell ref="A348:A353"/>
    <mergeCell ref="C348:C353"/>
    <mergeCell ref="D348:D353"/>
    <mergeCell ref="E348:E353"/>
    <mergeCell ref="F348:F353"/>
    <mergeCell ref="O354:O359"/>
    <mergeCell ref="P354:P359"/>
    <mergeCell ref="AA354:AA359"/>
    <mergeCell ref="AB354:AB359"/>
    <mergeCell ref="AC354:AC359"/>
    <mergeCell ref="AE354:AE359"/>
    <mergeCell ref="I354:I359"/>
    <mergeCell ref="J354:J359"/>
    <mergeCell ref="K354:K359"/>
    <mergeCell ref="L354:L359"/>
    <mergeCell ref="M354:M359"/>
    <mergeCell ref="N354:N359"/>
    <mergeCell ref="N348:N353"/>
    <mergeCell ref="O348:O353"/>
    <mergeCell ref="P348:P353"/>
    <mergeCell ref="AA348:AA353"/>
    <mergeCell ref="AB348:AB353"/>
    <mergeCell ref="AP360:AP365"/>
    <mergeCell ref="AQ360:AQ365"/>
    <mergeCell ref="A354:A359"/>
    <mergeCell ref="C354:C359"/>
    <mergeCell ref="D354:D359"/>
    <mergeCell ref="E354:E359"/>
    <mergeCell ref="F354:F359"/>
    <mergeCell ref="G354:G359"/>
    <mergeCell ref="H354:H359"/>
    <mergeCell ref="AC360:AC365"/>
    <mergeCell ref="AE360:AE365"/>
    <mergeCell ref="AF360:AF365"/>
    <mergeCell ref="AG360:AG365"/>
    <mergeCell ref="AH360:AH365"/>
    <mergeCell ref="AI360:AI365"/>
    <mergeCell ref="M360:M365"/>
    <mergeCell ref="N360:N365"/>
    <mergeCell ref="O360:O365"/>
    <mergeCell ref="P360:P365"/>
    <mergeCell ref="AA360:AA365"/>
    <mergeCell ref="AB360:AB365"/>
    <mergeCell ref="G360:G365"/>
    <mergeCell ref="H360:H365"/>
    <mergeCell ref="I360:I365"/>
    <mergeCell ref="J360:J365"/>
    <mergeCell ref="K360:K365"/>
    <mergeCell ref="L360:L365"/>
    <mergeCell ref="AG354:AG359"/>
    <mergeCell ref="AH354:AH359"/>
    <mergeCell ref="AI354:AI359"/>
    <mergeCell ref="AP354:AP359"/>
    <mergeCell ref="AQ354:AQ359"/>
    <mergeCell ref="A372:A377"/>
    <mergeCell ref="C372:C377"/>
    <mergeCell ref="D372:D377"/>
    <mergeCell ref="E372:E377"/>
    <mergeCell ref="F372:F377"/>
    <mergeCell ref="AF366:AF371"/>
    <mergeCell ref="AG366:AG371"/>
    <mergeCell ref="AH366:AH371"/>
    <mergeCell ref="AI366:AI371"/>
    <mergeCell ref="AP366:AP371"/>
    <mergeCell ref="AQ366:AQ371"/>
    <mergeCell ref="O366:O371"/>
    <mergeCell ref="P366:P371"/>
    <mergeCell ref="AA366:AA371"/>
    <mergeCell ref="AB366:AB371"/>
    <mergeCell ref="AC366:AC371"/>
    <mergeCell ref="AE366:AE371"/>
    <mergeCell ref="I366:I371"/>
    <mergeCell ref="J366:J371"/>
    <mergeCell ref="K366:K371"/>
    <mergeCell ref="L366:L371"/>
    <mergeCell ref="M366:M371"/>
    <mergeCell ref="N366:N371"/>
    <mergeCell ref="AP372:AP377"/>
    <mergeCell ref="AQ372:AQ377"/>
    <mergeCell ref="A366:A371"/>
    <mergeCell ref="C366:C371"/>
    <mergeCell ref="D366:D371"/>
    <mergeCell ref="E366:E371"/>
    <mergeCell ref="F366:F371"/>
    <mergeCell ref="G366:G371"/>
    <mergeCell ref="H366:H371"/>
    <mergeCell ref="AC372:AC377"/>
    <mergeCell ref="AE372:AE377"/>
    <mergeCell ref="AF372:AF377"/>
    <mergeCell ref="AG372:AG377"/>
    <mergeCell ref="AH372:AH377"/>
    <mergeCell ref="AI372:AI377"/>
    <mergeCell ref="M372:M377"/>
    <mergeCell ref="N372:N377"/>
    <mergeCell ref="O372:O377"/>
    <mergeCell ref="P372:P377"/>
    <mergeCell ref="AA372:AA377"/>
    <mergeCell ref="AB372:AB377"/>
    <mergeCell ref="G372:G377"/>
    <mergeCell ref="H372:H377"/>
    <mergeCell ref="I372:I377"/>
    <mergeCell ref="J372:J377"/>
    <mergeCell ref="K372:K377"/>
    <mergeCell ref="L372:L377"/>
    <mergeCell ref="A390:A395"/>
    <mergeCell ref="C390:C395"/>
    <mergeCell ref="D390:D395"/>
    <mergeCell ref="E390:E395"/>
    <mergeCell ref="F390:F395"/>
    <mergeCell ref="AF378:AF383"/>
    <mergeCell ref="AG378:AG383"/>
    <mergeCell ref="AH378:AH383"/>
    <mergeCell ref="AI378:AI383"/>
    <mergeCell ref="AP378:AP383"/>
    <mergeCell ref="AQ378:AQ383"/>
    <mergeCell ref="O378:O383"/>
    <mergeCell ref="P378:P383"/>
    <mergeCell ref="AA378:AA383"/>
    <mergeCell ref="AB378:AB383"/>
    <mergeCell ref="AC378:AC383"/>
    <mergeCell ref="AE378:AE383"/>
    <mergeCell ref="I378:I383"/>
    <mergeCell ref="J378:J383"/>
    <mergeCell ref="K378:K383"/>
    <mergeCell ref="L378:L383"/>
    <mergeCell ref="M378:M383"/>
    <mergeCell ref="N378:N383"/>
    <mergeCell ref="AP390:AP395"/>
    <mergeCell ref="AQ390:AQ395"/>
    <mergeCell ref="A378:A383"/>
    <mergeCell ref="C378:C383"/>
    <mergeCell ref="D378:D383"/>
    <mergeCell ref="E378:E383"/>
    <mergeCell ref="F378:F383"/>
    <mergeCell ref="G378:G383"/>
    <mergeCell ref="H378:H383"/>
    <mergeCell ref="AC390:AC395"/>
    <mergeCell ref="AE390:AE395"/>
    <mergeCell ref="AF390:AF395"/>
    <mergeCell ref="AG390:AG395"/>
    <mergeCell ref="AH390:AH395"/>
    <mergeCell ref="AI390:AI395"/>
    <mergeCell ref="M390:M395"/>
    <mergeCell ref="N390:N395"/>
    <mergeCell ref="O390:O395"/>
    <mergeCell ref="P390:P395"/>
    <mergeCell ref="AA390:AA395"/>
    <mergeCell ref="AB390:AB395"/>
    <mergeCell ref="G390:G395"/>
    <mergeCell ref="H390:H395"/>
    <mergeCell ref="I390:I395"/>
    <mergeCell ref="J390:J395"/>
    <mergeCell ref="K390:K395"/>
    <mergeCell ref="L390:L395"/>
    <mergeCell ref="A402:A407"/>
    <mergeCell ref="C402:C407"/>
    <mergeCell ref="D402:D407"/>
    <mergeCell ref="E402:E407"/>
    <mergeCell ref="F402:F407"/>
    <mergeCell ref="AF396:AF401"/>
    <mergeCell ref="AG396:AG401"/>
    <mergeCell ref="AH396:AH401"/>
    <mergeCell ref="AI396:AI401"/>
    <mergeCell ref="AP396:AP401"/>
    <mergeCell ref="AQ396:AQ401"/>
    <mergeCell ref="O396:O401"/>
    <mergeCell ref="P396:P401"/>
    <mergeCell ref="AA396:AA401"/>
    <mergeCell ref="AB396:AB401"/>
    <mergeCell ref="AC396:AC401"/>
    <mergeCell ref="AE396:AE401"/>
    <mergeCell ref="I396:I401"/>
    <mergeCell ref="J396:J401"/>
    <mergeCell ref="K396:K401"/>
    <mergeCell ref="L396:L401"/>
    <mergeCell ref="M396:M401"/>
    <mergeCell ref="N396:N401"/>
    <mergeCell ref="AP402:AP407"/>
    <mergeCell ref="AQ402:AQ407"/>
    <mergeCell ref="A396:A401"/>
    <mergeCell ref="C396:C401"/>
    <mergeCell ref="D396:D401"/>
    <mergeCell ref="E396:E401"/>
    <mergeCell ref="F396:F401"/>
    <mergeCell ref="G396:G401"/>
    <mergeCell ref="H396:H401"/>
    <mergeCell ref="E408:E413"/>
    <mergeCell ref="F408:F413"/>
    <mergeCell ref="G408:G413"/>
    <mergeCell ref="H408:H413"/>
    <mergeCell ref="AC402:AC407"/>
    <mergeCell ref="AE402:AE407"/>
    <mergeCell ref="AF402:AF407"/>
    <mergeCell ref="AG402:AG407"/>
    <mergeCell ref="AH402:AH407"/>
    <mergeCell ref="AI402:AI407"/>
    <mergeCell ref="M402:M407"/>
    <mergeCell ref="N402:N407"/>
    <mergeCell ref="O402:O407"/>
    <mergeCell ref="P402:P407"/>
    <mergeCell ref="AA402:AA407"/>
    <mergeCell ref="AB402:AB407"/>
    <mergeCell ref="G402:G407"/>
    <mergeCell ref="H402:H407"/>
    <mergeCell ref="I402:I407"/>
    <mergeCell ref="J402:J407"/>
    <mergeCell ref="K402:K407"/>
    <mergeCell ref="L402:L407"/>
    <mergeCell ref="A414:A419"/>
    <mergeCell ref="C414:C419"/>
    <mergeCell ref="D414:D419"/>
    <mergeCell ref="AF420:AF425"/>
    <mergeCell ref="AG420:AG425"/>
    <mergeCell ref="E414:E419"/>
    <mergeCell ref="F414:F419"/>
    <mergeCell ref="AF408:AF413"/>
    <mergeCell ref="AG408:AG413"/>
    <mergeCell ref="AH408:AH413"/>
    <mergeCell ref="AI408:AI413"/>
    <mergeCell ref="AP408:AP413"/>
    <mergeCell ref="AQ408:AQ413"/>
    <mergeCell ref="O408:O413"/>
    <mergeCell ref="P408:P413"/>
    <mergeCell ref="AA408:AA413"/>
    <mergeCell ref="AB408:AB413"/>
    <mergeCell ref="AC408:AC413"/>
    <mergeCell ref="AE408:AE413"/>
    <mergeCell ref="I408:I413"/>
    <mergeCell ref="J408:J413"/>
    <mergeCell ref="K408:K413"/>
    <mergeCell ref="L408:L413"/>
    <mergeCell ref="M408:M413"/>
    <mergeCell ref="N408:N413"/>
    <mergeCell ref="AP414:AP419"/>
    <mergeCell ref="AQ414:AQ419"/>
    <mergeCell ref="A408:A413"/>
    <mergeCell ref="C408:C413"/>
    <mergeCell ref="D408:D413"/>
    <mergeCell ref="AC414:AC419"/>
    <mergeCell ref="AE414:AE419"/>
    <mergeCell ref="AF414:AF419"/>
    <mergeCell ref="AG414:AG419"/>
    <mergeCell ref="AH414:AH419"/>
    <mergeCell ref="AI414:AI419"/>
    <mergeCell ref="M414:M419"/>
    <mergeCell ref="N414:N419"/>
    <mergeCell ref="O414:O419"/>
    <mergeCell ref="P414:P419"/>
    <mergeCell ref="AA414:AA419"/>
    <mergeCell ref="AB414:AB419"/>
    <mergeCell ref="G414:G419"/>
    <mergeCell ref="H414:H419"/>
    <mergeCell ref="I414:I419"/>
    <mergeCell ref="J414:J419"/>
    <mergeCell ref="K414:K419"/>
    <mergeCell ref="L414:L419"/>
    <mergeCell ref="AH420:AH425"/>
    <mergeCell ref="AI420:AI425"/>
    <mergeCell ref="AP420:AP425"/>
    <mergeCell ref="AQ420:AQ425"/>
    <mergeCell ref="O420:O425"/>
    <mergeCell ref="P420:P425"/>
    <mergeCell ref="AA420:AA425"/>
    <mergeCell ref="AB420:AB425"/>
    <mergeCell ref="AC420:AC425"/>
    <mergeCell ref="AE420:AE425"/>
    <mergeCell ref="I420:I425"/>
    <mergeCell ref="J420:J425"/>
    <mergeCell ref="K420:K425"/>
    <mergeCell ref="L420:L425"/>
    <mergeCell ref="M420:M425"/>
    <mergeCell ref="N420:N425"/>
    <mergeCell ref="A420:A425"/>
    <mergeCell ref="C420:C425"/>
    <mergeCell ref="D420:D425"/>
    <mergeCell ref="E420:E425"/>
    <mergeCell ref="F420:F425"/>
    <mergeCell ref="G420:G425"/>
    <mergeCell ref="H420:H425"/>
  </mergeCells>
  <conditionalFormatting sqref="N6:N11 N198:N203">
    <cfRule type="cellIs" dxfId="2357" priority="3552" operator="equal">
      <formula>"Mayor"</formula>
    </cfRule>
    <cfRule type="cellIs" dxfId="2356" priority="3553" operator="equal">
      <formula>"Moderado"</formula>
    </cfRule>
    <cfRule type="cellIs" dxfId="2355" priority="3554" operator="equal">
      <formula>"Menor"</formula>
    </cfRule>
    <cfRule type="cellIs" dxfId="2354" priority="3555" operator="equal">
      <formula>"Leve"</formula>
    </cfRule>
    <cfRule type="cellIs" dxfId="2353" priority="3556" operator="equal">
      <formula>"Catastrófico"</formula>
    </cfRule>
  </conditionalFormatting>
  <conditionalFormatting sqref="K6:K11 AC198:AC203 K198:K203">
    <cfRule type="cellIs" dxfId="2352" priority="3547" operator="equal">
      <formula>"Muy Alta"</formula>
    </cfRule>
    <cfRule type="cellIs" dxfId="2351" priority="3548" operator="equal">
      <formula>"Alta"</formula>
    </cfRule>
    <cfRule type="cellIs" dxfId="2350" priority="3549" operator="equal">
      <formula>"Media"</formula>
    </cfRule>
    <cfRule type="cellIs" dxfId="2349" priority="3550" operator="equal">
      <formula>"Baja"</formula>
    </cfRule>
    <cfRule type="cellIs" dxfId="2348" priority="3551" operator="equal">
      <formula>"Muy Baja"</formula>
    </cfRule>
  </conditionalFormatting>
  <conditionalFormatting sqref="P6:P29 P198:P203">
    <cfRule type="containsText" dxfId="2347" priority="3543" operator="containsText" text="Extremo">
      <formula>NOT(ISERROR(SEARCH("Extremo",P6)))</formula>
    </cfRule>
    <cfRule type="containsText" dxfId="2346" priority="3544" operator="containsText" text="Alto">
      <formula>NOT(ISERROR(SEARCH("Alto",P6)))</formula>
    </cfRule>
    <cfRule type="containsText" dxfId="2345" priority="3545" operator="containsText" text="Moderado">
      <formula>NOT(ISERROR(SEARCH("Moderado",P6)))</formula>
    </cfRule>
    <cfRule type="containsText" dxfId="2344" priority="3546" operator="containsText" text="Bajo">
      <formula>NOT(ISERROR(SEARCH("Bajo",P6)))</formula>
    </cfRule>
  </conditionalFormatting>
  <conditionalFormatting sqref="AC6:AC29">
    <cfRule type="cellIs" dxfId="2343" priority="3538" operator="equal">
      <formula>"Muy Alta"</formula>
    </cfRule>
    <cfRule type="cellIs" dxfId="2342" priority="3539" operator="equal">
      <formula>"Alta"</formula>
    </cfRule>
    <cfRule type="cellIs" dxfId="2341" priority="3540" operator="equal">
      <formula>"Media"</formula>
    </cfRule>
    <cfRule type="cellIs" dxfId="2340" priority="3541" operator="equal">
      <formula>"Baja"</formula>
    </cfRule>
    <cfRule type="cellIs" dxfId="2339" priority="3542" operator="equal">
      <formula>"Muy Baja"</formula>
    </cfRule>
  </conditionalFormatting>
  <conditionalFormatting sqref="K12:K29">
    <cfRule type="cellIs" dxfId="2338" priority="3533" operator="equal">
      <formula>"Muy Alta"</formula>
    </cfRule>
    <cfRule type="cellIs" dxfId="2337" priority="3534" operator="equal">
      <formula>"Alta"</formula>
    </cfRule>
    <cfRule type="cellIs" dxfId="2336" priority="3535" operator="equal">
      <formula>"Media"</formula>
    </cfRule>
    <cfRule type="cellIs" dxfId="2335" priority="3536" operator="equal">
      <formula>"Baja"</formula>
    </cfRule>
    <cfRule type="cellIs" dxfId="2334" priority="3537" operator="equal">
      <formula>"Muy Baja"</formula>
    </cfRule>
  </conditionalFormatting>
  <conditionalFormatting sqref="N12:N29">
    <cfRule type="cellIs" dxfId="2333" priority="3528" operator="equal">
      <formula>"Mayor"</formula>
    </cfRule>
    <cfRule type="cellIs" dxfId="2332" priority="3529" operator="equal">
      <formula>"Moderado"</formula>
    </cfRule>
    <cfRule type="cellIs" dxfId="2331" priority="3530" operator="equal">
      <formula>"Menor"</formula>
    </cfRule>
    <cfRule type="cellIs" dxfId="2330" priority="3531" operator="equal">
      <formula>"Leve"</formula>
    </cfRule>
    <cfRule type="cellIs" dxfId="2329" priority="3532" operator="equal">
      <formula>"Catastrófico"</formula>
    </cfRule>
  </conditionalFormatting>
  <conditionalFormatting sqref="AH6:AH29 AH198:AH203">
    <cfRule type="cellIs" dxfId="2328" priority="3524" operator="equal">
      <formula>"Extremo"</formula>
    </cfRule>
    <cfRule type="cellIs" dxfId="2327" priority="3525" operator="equal">
      <formula>"Alto"</formula>
    </cfRule>
    <cfRule type="cellIs" dxfId="2326" priority="3526" operator="equal">
      <formula>"Moderado"</formula>
    </cfRule>
    <cfRule type="cellIs" dxfId="2325" priority="3527" operator="equal">
      <formula>"Bajo"</formula>
    </cfRule>
  </conditionalFormatting>
  <conditionalFormatting sqref="AG6:AG29 AG198:AG203">
    <cfRule type="cellIs" dxfId="2324" priority="3519" operator="equal">
      <formula>"Catastrófico"</formula>
    </cfRule>
    <cfRule type="cellIs" dxfId="2323" priority="3520" operator="equal">
      <formula>"Mayor"</formula>
    </cfRule>
    <cfRule type="cellIs" dxfId="2322" priority="3521" operator="equal">
      <formula>"Moderado"</formula>
    </cfRule>
    <cfRule type="cellIs" dxfId="2321" priority="3522" operator="equal">
      <formula>"Menor"</formula>
    </cfRule>
    <cfRule type="cellIs" dxfId="2320" priority="3523" operator="equal">
      <formula>"Leve"</formula>
    </cfRule>
  </conditionalFormatting>
  <conditionalFormatting sqref="P84:P107">
    <cfRule type="containsText" dxfId="2319" priority="3407" operator="containsText" text="Extremo">
      <formula>NOT(ISERROR(SEARCH("Extremo",P84)))</formula>
    </cfRule>
    <cfRule type="containsText" dxfId="2318" priority="3408" operator="containsText" text="Alto">
      <formula>NOT(ISERROR(SEARCH("Alto",P84)))</formula>
    </cfRule>
    <cfRule type="containsText" dxfId="2317" priority="3409" operator="containsText" text="Moderado">
      <formula>NOT(ISERROR(SEARCH("Moderado",P84)))</formula>
    </cfRule>
    <cfRule type="containsText" dxfId="2316" priority="3410" operator="containsText" text="Bajo">
      <formula>NOT(ISERROR(SEARCH("Bajo",P84)))</formula>
    </cfRule>
  </conditionalFormatting>
  <conditionalFormatting sqref="AC84:AC107">
    <cfRule type="cellIs" dxfId="2315" priority="3397" operator="equal">
      <formula>"Muy Alta"</formula>
    </cfRule>
    <cfRule type="cellIs" dxfId="2314" priority="3398" operator="equal">
      <formula>"Alta"</formula>
    </cfRule>
    <cfRule type="cellIs" dxfId="2313" priority="3399" operator="equal">
      <formula>"Media"</formula>
    </cfRule>
    <cfRule type="cellIs" dxfId="2312" priority="3400" operator="equal">
      <formula>"Baja"</formula>
    </cfRule>
    <cfRule type="cellIs" dxfId="2311" priority="3401" operator="equal">
      <formula>"Muy Baja"</formula>
    </cfRule>
  </conditionalFormatting>
  <conditionalFormatting sqref="AG84:AG107">
    <cfRule type="cellIs" dxfId="2310" priority="3387" operator="equal">
      <formula>"Catastrófico"</formula>
    </cfRule>
    <cfRule type="cellIs" dxfId="2309" priority="3388" operator="equal">
      <formula>"Mayor"</formula>
    </cfRule>
    <cfRule type="cellIs" dxfId="2308" priority="3389" operator="equal">
      <formula>"Moderado"</formula>
    </cfRule>
    <cfRule type="cellIs" dxfId="2307" priority="3390" operator="equal">
      <formula>"Menor"</formula>
    </cfRule>
    <cfRule type="cellIs" dxfId="2306" priority="3391" operator="equal">
      <formula>"Leve"</formula>
    </cfRule>
  </conditionalFormatting>
  <conditionalFormatting sqref="K84:K107">
    <cfRule type="cellIs" dxfId="2305" priority="3382" operator="equal">
      <formula>"Muy Alta"</formula>
    </cfRule>
    <cfRule type="cellIs" dxfId="2304" priority="3383" operator="equal">
      <formula>"Alta"</formula>
    </cfRule>
    <cfRule type="cellIs" dxfId="2303" priority="3384" operator="equal">
      <formula>"Media"</formula>
    </cfRule>
    <cfRule type="cellIs" dxfId="2302" priority="3385" operator="equal">
      <formula>"Baja"</formula>
    </cfRule>
    <cfRule type="cellIs" dxfId="2301" priority="3386" operator="equal">
      <formula>"Muy Baja"</formula>
    </cfRule>
  </conditionalFormatting>
  <conditionalFormatting sqref="N84:N107">
    <cfRule type="cellIs" dxfId="2300" priority="3377" operator="equal">
      <formula>"Mayor"</formula>
    </cfRule>
    <cfRule type="cellIs" dxfId="2299" priority="3378" operator="equal">
      <formula>"Moderado"</formula>
    </cfRule>
    <cfRule type="cellIs" dxfId="2298" priority="3379" operator="equal">
      <formula>"Menor"</formula>
    </cfRule>
    <cfRule type="cellIs" dxfId="2297" priority="3380" operator="equal">
      <formula>"Leve"</formula>
    </cfRule>
    <cfRule type="cellIs" dxfId="2296" priority="3381" operator="equal">
      <formula>"Catastrófico"</formula>
    </cfRule>
  </conditionalFormatting>
  <conditionalFormatting sqref="AH84:AH107">
    <cfRule type="cellIs" dxfId="2295" priority="3369" operator="equal">
      <formula>"Extremo"</formula>
    </cfRule>
    <cfRule type="cellIs" dxfId="2294" priority="3370" operator="equal">
      <formula>"Alto"</formula>
    </cfRule>
    <cfRule type="cellIs" dxfId="2293" priority="3371" operator="equal">
      <formula>"Moderado"</formula>
    </cfRule>
    <cfRule type="cellIs" dxfId="2292" priority="3372" operator="equal">
      <formula>"Bajo"</formula>
    </cfRule>
  </conditionalFormatting>
  <conditionalFormatting sqref="P450:P455">
    <cfRule type="containsText" dxfId="2291" priority="2237" operator="containsText" text="Extremo">
      <formula>NOT(ISERROR(SEARCH("Extremo",P450)))</formula>
    </cfRule>
    <cfRule type="containsText" dxfId="2290" priority="2238" operator="containsText" text="Alto">
      <formula>NOT(ISERROR(SEARCH("Alto",P450)))</formula>
    </cfRule>
    <cfRule type="containsText" dxfId="2289" priority="2239" operator="containsText" text="Moderado">
      <formula>NOT(ISERROR(SEARCH("Moderado",P450)))</formula>
    </cfRule>
    <cfRule type="containsText" dxfId="2288" priority="2240" operator="containsText" text="Bajo">
      <formula>NOT(ISERROR(SEARCH("Bajo",P450)))</formula>
    </cfRule>
  </conditionalFormatting>
  <conditionalFormatting sqref="AC450:AC455">
    <cfRule type="cellIs" dxfId="2287" priority="2232" operator="equal">
      <formula>"Muy Alta"</formula>
    </cfRule>
    <cfRule type="cellIs" dxfId="2286" priority="2233" operator="equal">
      <formula>"Alta"</formula>
    </cfRule>
    <cfRule type="cellIs" dxfId="2285" priority="2234" operator="equal">
      <formula>"Media"</formula>
    </cfRule>
    <cfRule type="cellIs" dxfId="2284" priority="2235" operator="equal">
      <formula>"Baja"</formula>
    </cfRule>
    <cfRule type="cellIs" dxfId="2283" priority="2236" operator="equal">
      <formula>"Muy Baja"</formula>
    </cfRule>
  </conditionalFormatting>
  <conditionalFormatting sqref="AG450:AG455">
    <cfRule type="cellIs" dxfId="2282" priority="2227" operator="equal">
      <formula>"Catastrófico"</formula>
    </cfRule>
    <cfRule type="cellIs" dxfId="2281" priority="2228" operator="equal">
      <formula>"Mayor"</formula>
    </cfRule>
    <cfRule type="cellIs" dxfId="2280" priority="2229" operator="equal">
      <formula>"Moderado"</formula>
    </cfRule>
    <cfRule type="cellIs" dxfId="2279" priority="2230" operator="equal">
      <formula>"Menor"</formula>
    </cfRule>
    <cfRule type="cellIs" dxfId="2278" priority="2231" operator="equal">
      <formula>"Leve"</formula>
    </cfRule>
  </conditionalFormatting>
  <conditionalFormatting sqref="K450:K455">
    <cfRule type="cellIs" dxfId="2277" priority="2222" operator="equal">
      <formula>"Muy Alta"</formula>
    </cfRule>
    <cfRule type="cellIs" dxfId="2276" priority="2223" operator="equal">
      <formula>"Alta"</formula>
    </cfRule>
    <cfRule type="cellIs" dxfId="2275" priority="2224" operator="equal">
      <formula>"Media"</formula>
    </cfRule>
    <cfRule type="cellIs" dxfId="2274" priority="2225" operator="equal">
      <formula>"Baja"</formula>
    </cfRule>
    <cfRule type="cellIs" dxfId="2273" priority="2226" operator="equal">
      <formula>"Muy Baja"</formula>
    </cfRule>
  </conditionalFormatting>
  <conditionalFormatting sqref="N450:N455">
    <cfRule type="cellIs" dxfId="2272" priority="2217" operator="equal">
      <formula>"Mayor"</formula>
    </cfRule>
    <cfRule type="cellIs" dxfId="2271" priority="2218" operator="equal">
      <formula>"Moderado"</formula>
    </cfRule>
    <cfRule type="cellIs" dxfId="2270" priority="2219" operator="equal">
      <formula>"Menor"</formula>
    </cfRule>
    <cfRule type="cellIs" dxfId="2269" priority="2220" operator="equal">
      <formula>"Leve"</formula>
    </cfRule>
    <cfRule type="cellIs" dxfId="2268" priority="2221" operator="equal">
      <formula>"Catastrófico"</formula>
    </cfRule>
  </conditionalFormatting>
  <conditionalFormatting sqref="AH450:AH455">
    <cfRule type="cellIs" dxfId="2267" priority="2213" operator="equal">
      <formula>"Extremo"</formula>
    </cfRule>
    <cfRule type="cellIs" dxfId="2266" priority="2214" operator="equal">
      <formula>"Alto"</formula>
    </cfRule>
    <cfRule type="cellIs" dxfId="2265" priority="2215" operator="equal">
      <formula>"Moderado"</formula>
    </cfRule>
    <cfRule type="cellIs" dxfId="2264" priority="2216" operator="equal">
      <formula>"Bajo"</formula>
    </cfRule>
  </conditionalFormatting>
  <conditionalFormatting sqref="P372:P383">
    <cfRule type="containsText" dxfId="2263" priority="1467" operator="containsText" text="Extremo">
      <formula>NOT(ISERROR(SEARCH("Extremo",P372)))</formula>
    </cfRule>
    <cfRule type="containsText" dxfId="2262" priority="1468" operator="containsText" text="Alto">
      <formula>NOT(ISERROR(SEARCH("Alto",P372)))</formula>
    </cfRule>
    <cfRule type="containsText" dxfId="2261" priority="1469" operator="containsText" text="Moderado">
      <formula>NOT(ISERROR(SEARCH("Moderado",P372)))</formula>
    </cfRule>
    <cfRule type="containsText" dxfId="2260" priority="1470" operator="containsText" text="Bajo">
      <formula>NOT(ISERROR(SEARCH("Bajo",P372)))</formula>
    </cfRule>
  </conditionalFormatting>
  <conditionalFormatting sqref="AC372:AC383">
    <cfRule type="cellIs" dxfId="2259" priority="1462" operator="equal">
      <formula>"Muy Alta"</formula>
    </cfRule>
    <cfRule type="cellIs" dxfId="2258" priority="1463" operator="equal">
      <formula>"Alta"</formula>
    </cfRule>
    <cfRule type="cellIs" dxfId="2257" priority="1464" operator="equal">
      <formula>"Media"</formula>
    </cfRule>
    <cfRule type="cellIs" dxfId="2256" priority="1465" operator="equal">
      <formula>"Baja"</formula>
    </cfRule>
    <cfRule type="cellIs" dxfId="2255" priority="1466" operator="equal">
      <formula>"Muy Baja"</formula>
    </cfRule>
  </conditionalFormatting>
  <conditionalFormatting sqref="K378:K383">
    <cfRule type="cellIs" dxfId="2254" priority="1457" operator="equal">
      <formula>"Muy Alta"</formula>
    </cfRule>
    <cfRule type="cellIs" dxfId="2253" priority="1458" operator="equal">
      <formula>"Alta"</formula>
    </cfRule>
    <cfRule type="cellIs" dxfId="2252" priority="1459" operator="equal">
      <formula>"Media"</formula>
    </cfRule>
    <cfRule type="cellIs" dxfId="2251" priority="1460" operator="equal">
      <formula>"Baja"</formula>
    </cfRule>
    <cfRule type="cellIs" dxfId="2250" priority="1461" operator="equal">
      <formula>"Muy Baja"</formula>
    </cfRule>
  </conditionalFormatting>
  <conditionalFormatting sqref="N378:N383">
    <cfRule type="cellIs" dxfId="2249" priority="1452" operator="equal">
      <formula>"Mayor"</formula>
    </cfRule>
    <cfRule type="cellIs" dxfId="2248" priority="1453" operator="equal">
      <formula>"Moderado"</formula>
    </cfRule>
    <cfRule type="cellIs" dxfId="2247" priority="1454" operator="equal">
      <formula>"Menor"</formula>
    </cfRule>
    <cfRule type="cellIs" dxfId="2246" priority="1455" operator="equal">
      <formula>"Leve"</formula>
    </cfRule>
    <cfRule type="cellIs" dxfId="2245" priority="1456" operator="equal">
      <formula>"Catastrófico"</formula>
    </cfRule>
  </conditionalFormatting>
  <conditionalFormatting sqref="AH372:AH383">
    <cfRule type="cellIs" dxfId="2244" priority="1448" operator="equal">
      <formula>"Extremo"</formula>
    </cfRule>
    <cfRule type="cellIs" dxfId="2243" priority="1449" operator="equal">
      <formula>"Alto"</formula>
    </cfRule>
    <cfRule type="cellIs" dxfId="2242" priority="1450" operator="equal">
      <formula>"Moderado"</formula>
    </cfRule>
    <cfRule type="cellIs" dxfId="2241" priority="1451" operator="equal">
      <formula>"Bajo"</formula>
    </cfRule>
  </conditionalFormatting>
  <conditionalFormatting sqref="AG372:AG383">
    <cfRule type="cellIs" dxfId="2240" priority="1443" operator="equal">
      <formula>"Catastrófico"</formula>
    </cfRule>
    <cfRule type="cellIs" dxfId="2239" priority="1444" operator="equal">
      <formula>"Mayor"</formula>
    </cfRule>
    <cfRule type="cellIs" dxfId="2238" priority="1445" operator="equal">
      <formula>"Moderado"</formula>
    </cfRule>
    <cfRule type="cellIs" dxfId="2237" priority="1446" operator="equal">
      <formula>"Menor"</formula>
    </cfRule>
    <cfRule type="cellIs" dxfId="2236" priority="1447" operator="equal">
      <formula>"Leve"</formula>
    </cfRule>
  </conditionalFormatting>
  <conditionalFormatting sqref="N372:N377">
    <cfRule type="cellIs" dxfId="2235" priority="1476" operator="equal">
      <formula>"Mayor"</formula>
    </cfRule>
    <cfRule type="cellIs" dxfId="2234" priority="1477" operator="equal">
      <formula>"Moderado"</formula>
    </cfRule>
    <cfRule type="cellIs" dxfId="2233" priority="1478" operator="equal">
      <formula>"Menor"</formula>
    </cfRule>
    <cfRule type="cellIs" dxfId="2232" priority="1479" operator="equal">
      <formula>"Leve"</formula>
    </cfRule>
    <cfRule type="cellIs" dxfId="2231" priority="1480" operator="equal">
      <formula>"Catastrófico"</formula>
    </cfRule>
  </conditionalFormatting>
  <conditionalFormatting sqref="K372:K377">
    <cfRule type="cellIs" dxfId="2230" priority="1471" operator="equal">
      <formula>"Muy Alta"</formula>
    </cfRule>
    <cfRule type="cellIs" dxfId="2229" priority="1472" operator="equal">
      <formula>"Alta"</formula>
    </cfRule>
    <cfRule type="cellIs" dxfId="2228" priority="1473" operator="equal">
      <formula>"Media"</formula>
    </cfRule>
    <cfRule type="cellIs" dxfId="2227" priority="1474" operator="equal">
      <formula>"Baja"</formula>
    </cfRule>
    <cfRule type="cellIs" dxfId="2226" priority="1475" operator="equal">
      <formula>"Muy Baja"</formula>
    </cfRule>
  </conditionalFormatting>
  <conditionalFormatting sqref="N108:N113">
    <cfRule type="cellIs" dxfId="2225" priority="1324" operator="equal">
      <formula>"Mayor"</formula>
    </cfRule>
    <cfRule type="cellIs" dxfId="2224" priority="1325" operator="equal">
      <formula>"Moderado"</formula>
    </cfRule>
    <cfRule type="cellIs" dxfId="2223" priority="1326" operator="equal">
      <formula>"Menor"</formula>
    </cfRule>
    <cfRule type="cellIs" dxfId="2222" priority="1327" operator="equal">
      <formula>"Leve"</formula>
    </cfRule>
    <cfRule type="cellIs" dxfId="2221" priority="1328" operator="equal">
      <formula>"Catastrófico"</formula>
    </cfRule>
  </conditionalFormatting>
  <conditionalFormatting sqref="K108:K113">
    <cfRule type="cellIs" dxfId="2220" priority="1319" operator="equal">
      <formula>"Muy Alta"</formula>
    </cfRule>
    <cfRule type="cellIs" dxfId="2219" priority="1320" operator="equal">
      <formula>"Alta"</formula>
    </cfRule>
    <cfRule type="cellIs" dxfId="2218" priority="1321" operator="equal">
      <formula>"Media"</formula>
    </cfRule>
    <cfRule type="cellIs" dxfId="2217" priority="1322" operator="equal">
      <formula>"Baja"</formula>
    </cfRule>
    <cfRule type="cellIs" dxfId="2216" priority="1323" operator="equal">
      <formula>"Muy Baja"</formula>
    </cfRule>
  </conditionalFormatting>
  <conditionalFormatting sqref="P108:P113">
    <cfRule type="containsText" dxfId="2215" priority="1315" operator="containsText" text="Extremo">
      <formula>NOT(ISERROR(SEARCH("Extremo",P108)))</formula>
    </cfRule>
    <cfRule type="containsText" dxfId="2214" priority="1316" operator="containsText" text="Alto">
      <formula>NOT(ISERROR(SEARCH("Alto",P108)))</formula>
    </cfRule>
    <cfRule type="containsText" dxfId="2213" priority="1317" operator="containsText" text="Moderado">
      <formula>NOT(ISERROR(SEARCH("Moderado",P108)))</formula>
    </cfRule>
    <cfRule type="containsText" dxfId="2212" priority="1318" operator="containsText" text="Bajo">
      <formula>NOT(ISERROR(SEARCH("Bajo",P108)))</formula>
    </cfRule>
  </conditionalFormatting>
  <conditionalFormatting sqref="P114:P131">
    <cfRule type="containsText" dxfId="2211" priority="1311" operator="containsText" text="Extremo">
      <formula>NOT(ISERROR(SEARCH("Extremo",P114)))</formula>
    </cfRule>
    <cfRule type="containsText" dxfId="2210" priority="1312" operator="containsText" text="Alto">
      <formula>NOT(ISERROR(SEARCH("Alto",P114)))</formula>
    </cfRule>
    <cfRule type="containsText" dxfId="2209" priority="1313" operator="containsText" text="Moderado">
      <formula>NOT(ISERROR(SEARCH("Moderado",P114)))</formula>
    </cfRule>
    <cfRule type="containsText" dxfId="2208" priority="1314" operator="containsText" text="Bajo">
      <formula>NOT(ISERROR(SEARCH("Bajo",P114)))</formula>
    </cfRule>
  </conditionalFormatting>
  <conditionalFormatting sqref="AC108:AC113">
    <cfRule type="cellIs" dxfId="2207" priority="1306" operator="equal">
      <formula>"Muy Alta"</formula>
    </cfRule>
    <cfRule type="cellIs" dxfId="2206" priority="1307" operator="equal">
      <formula>"Alta"</formula>
    </cfRule>
    <cfRule type="cellIs" dxfId="2205" priority="1308" operator="equal">
      <formula>"Media"</formula>
    </cfRule>
    <cfRule type="cellIs" dxfId="2204" priority="1309" operator="equal">
      <formula>"Baja"</formula>
    </cfRule>
    <cfRule type="cellIs" dxfId="2203" priority="1310" operator="equal">
      <formula>"Muy Baja"</formula>
    </cfRule>
  </conditionalFormatting>
  <conditionalFormatting sqref="AC114:AC131">
    <cfRule type="cellIs" dxfId="2202" priority="1301" operator="equal">
      <formula>"Muy Alta"</formula>
    </cfRule>
    <cfRule type="cellIs" dxfId="2201" priority="1302" operator="equal">
      <formula>"Alta"</formula>
    </cfRule>
    <cfRule type="cellIs" dxfId="2200" priority="1303" operator="equal">
      <formula>"Media"</formula>
    </cfRule>
    <cfRule type="cellIs" dxfId="2199" priority="1304" operator="equal">
      <formula>"Baja"</formula>
    </cfRule>
    <cfRule type="cellIs" dxfId="2198" priority="1305" operator="equal">
      <formula>"Muy Baja"</formula>
    </cfRule>
  </conditionalFormatting>
  <conditionalFormatting sqref="AG114:AG131">
    <cfRule type="cellIs" dxfId="2197" priority="1296" operator="equal">
      <formula>"Catastrófico"</formula>
    </cfRule>
    <cfRule type="cellIs" dxfId="2196" priority="1297" operator="equal">
      <formula>"Mayor"</formula>
    </cfRule>
    <cfRule type="cellIs" dxfId="2195" priority="1298" operator="equal">
      <formula>"Moderado"</formula>
    </cfRule>
    <cfRule type="cellIs" dxfId="2194" priority="1299" operator="equal">
      <formula>"Menor"</formula>
    </cfRule>
    <cfRule type="cellIs" dxfId="2193" priority="1300" operator="equal">
      <formula>"Leve"</formula>
    </cfRule>
  </conditionalFormatting>
  <conditionalFormatting sqref="K114:K131">
    <cfRule type="cellIs" dxfId="2192" priority="1291" operator="equal">
      <formula>"Muy Alta"</formula>
    </cfRule>
    <cfRule type="cellIs" dxfId="2191" priority="1292" operator="equal">
      <formula>"Alta"</formula>
    </cfRule>
    <cfRule type="cellIs" dxfId="2190" priority="1293" operator="equal">
      <formula>"Media"</formula>
    </cfRule>
    <cfRule type="cellIs" dxfId="2189" priority="1294" operator="equal">
      <formula>"Baja"</formula>
    </cfRule>
    <cfRule type="cellIs" dxfId="2188" priority="1295" operator="equal">
      <formula>"Muy Baja"</formula>
    </cfRule>
  </conditionalFormatting>
  <conditionalFormatting sqref="N114:N131">
    <cfRule type="cellIs" dxfId="2187" priority="1286" operator="equal">
      <formula>"Mayor"</formula>
    </cfRule>
    <cfRule type="cellIs" dxfId="2186" priority="1287" operator="equal">
      <formula>"Moderado"</formula>
    </cfRule>
    <cfRule type="cellIs" dxfId="2185" priority="1288" operator="equal">
      <formula>"Menor"</formula>
    </cfRule>
    <cfRule type="cellIs" dxfId="2184" priority="1289" operator="equal">
      <formula>"Leve"</formula>
    </cfRule>
    <cfRule type="cellIs" dxfId="2183" priority="1290" operator="equal">
      <formula>"Catastrófico"</formula>
    </cfRule>
  </conditionalFormatting>
  <conditionalFormatting sqref="AH108:AH113">
    <cfRule type="cellIs" dxfId="2182" priority="1282" operator="equal">
      <formula>"Extremo"</formula>
    </cfRule>
    <cfRule type="cellIs" dxfId="2181" priority="1283" operator="equal">
      <formula>"Alto"</formula>
    </cfRule>
    <cfRule type="cellIs" dxfId="2180" priority="1284" operator="equal">
      <formula>"Moderado"</formula>
    </cfRule>
    <cfRule type="cellIs" dxfId="2179" priority="1285" operator="equal">
      <formula>"Bajo"</formula>
    </cfRule>
  </conditionalFormatting>
  <conditionalFormatting sqref="AH114:AH131">
    <cfRule type="cellIs" dxfId="2178" priority="1278" operator="equal">
      <formula>"Extremo"</formula>
    </cfRule>
    <cfRule type="cellIs" dxfId="2177" priority="1279" operator="equal">
      <formula>"Alto"</formula>
    </cfRule>
    <cfRule type="cellIs" dxfId="2176" priority="1280" operator="equal">
      <formula>"Moderado"</formula>
    </cfRule>
    <cfRule type="cellIs" dxfId="2175" priority="1281" operator="equal">
      <formula>"Bajo"</formula>
    </cfRule>
  </conditionalFormatting>
  <conditionalFormatting sqref="AG108:AG113">
    <cfRule type="cellIs" dxfId="2174" priority="1273" operator="equal">
      <formula>"Catastrófico"</formula>
    </cfRule>
    <cfRule type="cellIs" dxfId="2173" priority="1274" operator="equal">
      <formula>"Mayor"</formula>
    </cfRule>
    <cfRule type="cellIs" dxfId="2172" priority="1275" operator="equal">
      <formula>"Moderado"</formula>
    </cfRule>
    <cfRule type="cellIs" dxfId="2171" priority="1276" operator="equal">
      <formula>"Menor"</formula>
    </cfRule>
    <cfRule type="cellIs" dxfId="2170" priority="1277" operator="equal">
      <formula>"Leve"</formula>
    </cfRule>
  </conditionalFormatting>
  <conditionalFormatting sqref="P444:P449">
    <cfRule type="containsText" dxfId="2169" priority="1269" operator="containsText" text="Extremo">
      <formula>NOT(ISERROR(SEARCH("Extremo",P444)))</formula>
    </cfRule>
    <cfRule type="containsText" dxfId="2168" priority="1270" operator="containsText" text="Alto">
      <formula>NOT(ISERROR(SEARCH("Alto",P444)))</formula>
    </cfRule>
    <cfRule type="containsText" dxfId="2167" priority="1271" operator="containsText" text="Moderado">
      <formula>NOT(ISERROR(SEARCH("Moderado",P444)))</formula>
    </cfRule>
    <cfRule type="containsText" dxfId="2166" priority="1272" operator="containsText" text="Bajo">
      <formula>NOT(ISERROR(SEARCH("Bajo",P444)))</formula>
    </cfRule>
  </conditionalFormatting>
  <conditionalFormatting sqref="AC444:AC449">
    <cfRule type="cellIs" dxfId="2165" priority="1264" operator="equal">
      <formula>"Muy Alta"</formula>
    </cfRule>
    <cfRule type="cellIs" dxfId="2164" priority="1265" operator="equal">
      <formula>"Alta"</formula>
    </cfRule>
    <cfRule type="cellIs" dxfId="2163" priority="1266" operator="equal">
      <formula>"Media"</formula>
    </cfRule>
    <cfRule type="cellIs" dxfId="2162" priority="1267" operator="equal">
      <formula>"Baja"</formula>
    </cfRule>
    <cfRule type="cellIs" dxfId="2161" priority="1268" operator="equal">
      <formula>"Muy Baja"</formula>
    </cfRule>
  </conditionalFormatting>
  <conditionalFormatting sqref="AG444:AG449">
    <cfRule type="cellIs" dxfId="2160" priority="1259" operator="equal">
      <formula>"Catastrófico"</formula>
    </cfRule>
    <cfRule type="cellIs" dxfId="2159" priority="1260" operator="equal">
      <formula>"Mayor"</formula>
    </cfRule>
    <cfRule type="cellIs" dxfId="2158" priority="1261" operator="equal">
      <formula>"Moderado"</formula>
    </cfRule>
    <cfRule type="cellIs" dxfId="2157" priority="1262" operator="equal">
      <formula>"Menor"</formula>
    </cfRule>
    <cfRule type="cellIs" dxfId="2156" priority="1263" operator="equal">
      <formula>"Leve"</formula>
    </cfRule>
  </conditionalFormatting>
  <conditionalFormatting sqref="K444:K449">
    <cfRule type="cellIs" dxfId="2155" priority="1254" operator="equal">
      <formula>"Muy Alta"</formula>
    </cfRule>
    <cfRule type="cellIs" dxfId="2154" priority="1255" operator="equal">
      <formula>"Alta"</formula>
    </cfRule>
    <cfRule type="cellIs" dxfId="2153" priority="1256" operator="equal">
      <formula>"Media"</formula>
    </cfRule>
    <cfRule type="cellIs" dxfId="2152" priority="1257" operator="equal">
      <formula>"Baja"</formula>
    </cfRule>
    <cfRule type="cellIs" dxfId="2151" priority="1258" operator="equal">
      <formula>"Muy Baja"</formula>
    </cfRule>
  </conditionalFormatting>
  <conditionalFormatting sqref="N444:N449">
    <cfRule type="cellIs" dxfId="2150" priority="1249" operator="equal">
      <formula>"Mayor"</formula>
    </cfRule>
    <cfRule type="cellIs" dxfId="2149" priority="1250" operator="equal">
      <formula>"Moderado"</formula>
    </cfRule>
    <cfRule type="cellIs" dxfId="2148" priority="1251" operator="equal">
      <formula>"Menor"</formula>
    </cfRule>
    <cfRule type="cellIs" dxfId="2147" priority="1252" operator="equal">
      <formula>"Leve"</formula>
    </cfRule>
    <cfRule type="cellIs" dxfId="2146" priority="1253" operator="equal">
      <formula>"Catastrófico"</formula>
    </cfRule>
  </conditionalFormatting>
  <conditionalFormatting sqref="AH444:AH449">
    <cfRule type="cellIs" dxfId="2145" priority="1245" operator="equal">
      <formula>"Extremo"</formula>
    </cfRule>
    <cfRule type="cellIs" dxfId="2144" priority="1246" operator="equal">
      <formula>"Alto"</formula>
    </cfRule>
    <cfRule type="cellIs" dxfId="2143" priority="1247" operator="equal">
      <formula>"Moderado"</formula>
    </cfRule>
    <cfRule type="cellIs" dxfId="2142" priority="1248" operator="equal">
      <formula>"Bajo"</formula>
    </cfRule>
  </conditionalFormatting>
  <conditionalFormatting sqref="N156:N179">
    <cfRule type="cellIs" dxfId="2141" priority="1164" operator="equal">
      <formula>"Mayor"</formula>
    </cfRule>
    <cfRule type="cellIs" dxfId="2140" priority="1165" operator="equal">
      <formula>"Moderado"</formula>
    </cfRule>
    <cfRule type="cellIs" dxfId="2139" priority="1166" operator="equal">
      <formula>"Menor"</formula>
    </cfRule>
    <cfRule type="cellIs" dxfId="2138" priority="1167" operator="equal">
      <formula>"Leve"</formula>
    </cfRule>
    <cfRule type="cellIs" dxfId="2137" priority="1168" operator="equal">
      <formula>"Catastrófico"</formula>
    </cfRule>
  </conditionalFormatting>
  <conditionalFormatting sqref="N150:N155">
    <cfRule type="cellIs" dxfId="2136" priority="1202" operator="equal">
      <formula>"Mayor"</formula>
    </cfRule>
    <cfRule type="cellIs" dxfId="2135" priority="1203" operator="equal">
      <formula>"Moderado"</formula>
    </cfRule>
    <cfRule type="cellIs" dxfId="2134" priority="1204" operator="equal">
      <formula>"Menor"</formula>
    </cfRule>
    <cfRule type="cellIs" dxfId="2133" priority="1205" operator="equal">
      <formula>"Leve"</formula>
    </cfRule>
    <cfRule type="cellIs" dxfId="2132" priority="1206" operator="equal">
      <formula>"Catastrófico"</formula>
    </cfRule>
  </conditionalFormatting>
  <conditionalFormatting sqref="K150:K155">
    <cfRule type="cellIs" dxfId="2131" priority="1197" operator="equal">
      <formula>"Muy Alta"</formula>
    </cfRule>
    <cfRule type="cellIs" dxfId="2130" priority="1198" operator="equal">
      <formula>"Alta"</formula>
    </cfRule>
    <cfRule type="cellIs" dxfId="2129" priority="1199" operator="equal">
      <formula>"Media"</formula>
    </cfRule>
    <cfRule type="cellIs" dxfId="2128" priority="1200" operator="equal">
      <formula>"Baja"</formula>
    </cfRule>
    <cfRule type="cellIs" dxfId="2127" priority="1201" operator="equal">
      <formula>"Muy Baja"</formula>
    </cfRule>
  </conditionalFormatting>
  <conditionalFormatting sqref="P150:P155">
    <cfRule type="containsText" dxfId="2126" priority="1193" operator="containsText" text="Extremo">
      <formula>NOT(ISERROR(SEARCH("Extremo",P150)))</formula>
    </cfRule>
    <cfRule type="containsText" dxfId="2125" priority="1194" operator="containsText" text="Alto">
      <formula>NOT(ISERROR(SEARCH("Alto",P150)))</formula>
    </cfRule>
    <cfRule type="containsText" dxfId="2124" priority="1195" operator="containsText" text="Moderado">
      <formula>NOT(ISERROR(SEARCH("Moderado",P150)))</formula>
    </cfRule>
    <cfRule type="containsText" dxfId="2123" priority="1196" operator="containsText" text="Bajo">
      <formula>NOT(ISERROR(SEARCH("Bajo",P150)))</formula>
    </cfRule>
  </conditionalFormatting>
  <conditionalFormatting sqref="P156:P179">
    <cfRule type="containsText" dxfId="2122" priority="1189" operator="containsText" text="Extremo">
      <formula>NOT(ISERROR(SEARCH("Extremo",P156)))</formula>
    </cfRule>
    <cfRule type="containsText" dxfId="2121" priority="1190" operator="containsText" text="Alto">
      <formula>NOT(ISERROR(SEARCH("Alto",P156)))</formula>
    </cfRule>
    <cfRule type="containsText" dxfId="2120" priority="1191" operator="containsText" text="Moderado">
      <formula>NOT(ISERROR(SEARCH("Moderado",P156)))</formula>
    </cfRule>
    <cfRule type="containsText" dxfId="2119" priority="1192" operator="containsText" text="Bajo">
      <formula>NOT(ISERROR(SEARCH("Bajo",P156)))</formula>
    </cfRule>
  </conditionalFormatting>
  <conditionalFormatting sqref="AC150:AC155">
    <cfRule type="cellIs" dxfId="2118" priority="1184" operator="equal">
      <formula>"Muy Alta"</formula>
    </cfRule>
    <cfRule type="cellIs" dxfId="2117" priority="1185" operator="equal">
      <formula>"Alta"</formula>
    </cfRule>
    <cfRule type="cellIs" dxfId="2116" priority="1186" operator="equal">
      <formula>"Media"</formula>
    </cfRule>
    <cfRule type="cellIs" dxfId="2115" priority="1187" operator="equal">
      <formula>"Baja"</formula>
    </cfRule>
    <cfRule type="cellIs" dxfId="2114" priority="1188" operator="equal">
      <formula>"Muy Baja"</formula>
    </cfRule>
  </conditionalFormatting>
  <conditionalFormatting sqref="AC156:AC179">
    <cfRule type="cellIs" dxfId="2113" priority="1179" operator="equal">
      <formula>"Muy Alta"</formula>
    </cfRule>
    <cfRule type="cellIs" dxfId="2112" priority="1180" operator="equal">
      <formula>"Alta"</formula>
    </cfRule>
    <cfRule type="cellIs" dxfId="2111" priority="1181" operator="equal">
      <formula>"Media"</formula>
    </cfRule>
    <cfRule type="cellIs" dxfId="2110" priority="1182" operator="equal">
      <formula>"Baja"</formula>
    </cfRule>
    <cfRule type="cellIs" dxfId="2109" priority="1183" operator="equal">
      <formula>"Muy Baja"</formula>
    </cfRule>
  </conditionalFormatting>
  <conditionalFormatting sqref="AG156:AG179">
    <cfRule type="cellIs" dxfId="2108" priority="1174" operator="equal">
      <formula>"Catastrófico"</formula>
    </cfRule>
    <cfRule type="cellIs" dxfId="2107" priority="1175" operator="equal">
      <formula>"Mayor"</formula>
    </cfRule>
    <cfRule type="cellIs" dxfId="2106" priority="1176" operator="equal">
      <formula>"Moderado"</formula>
    </cfRule>
    <cfRule type="cellIs" dxfId="2105" priority="1177" operator="equal">
      <formula>"Menor"</formula>
    </cfRule>
    <cfRule type="cellIs" dxfId="2104" priority="1178" operator="equal">
      <formula>"Leve"</formula>
    </cfRule>
  </conditionalFormatting>
  <conditionalFormatting sqref="K156:K179">
    <cfRule type="cellIs" dxfId="2103" priority="1169" operator="equal">
      <formula>"Muy Alta"</formula>
    </cfRule>
    <cfRule type="cellIs" dxfId="2102" priority="1170" operator="equal">
      <formula>"Alta"</formula>
    </cfRule>
    <cfRule type="cellIs" dxfId="2101" priority="1171" operator="equal">
      <formula>"Media"</formula>
    </cfRule>
    <cfRule type="cellIs" dxfId="2100" priority="1172" operator="equal">
      <formula>"Baja"</formula>
    </cfRule>
    <cfRule type="cellIs" dxfId="2099" priority="1173" operator="equal">
      <formula>"Muy Baja"</formula>
    </cfRule>
  </conditionalFormatting>
  <conditionalFormatting sqref="AH150:AH155">
    <cfRule type="cellIs" dxfId="2098" priority="1160" operator="equal">
      <formula>"Extremo"</formula>
    </cfRule>
    <cfRule type="cellIs" dxfId="2097" priority="1161" operator="equal">
      <formula>"Alto"</formula>
    </cfRule>
    <cfRule type="cellIs" dxfId="2096" priority="1162" operator="equal">
      <formula>"Moderado"</formula>
    </cfRule>
    <cfRule type="cellIs" dxfId="2095" priority="1163" operator="equal">
      <formula>"Bajo"</formula>
    </cfRule>
  </conditionalFormatting>
  <conditionalFormatting sqref="AH156:AH179">
    <cfRule type="cellIs" dxfId="2094" priority="1156" operator="equal">
      <formula>"Extremo"</formula>
    </cfRule>
    <cfRule type="cellIs" dxfId="2093" priority="1157" operator="equal">
      <formula>"Alto"</formula>
    </cfRule>
    <cfRule type="cellIs" dxfId="2092" priority="1158" operator="equal">
      <formula>"Moderado"</formula>
    </cfRule>
    <cfRule type="cellIs" dxfId="2091" priority="1159" operator="equal">
      <formula>"Bajo"</formula>
    </cfRule>
  </conditionalFormatting>
  <conditionalFormatting sqref="AG150:AG155">
    <cfRule type="cellIs" dxfId="2090" priority="1151" operator="equal">
      <formula>"Catastrófico"</formula>
    </cfRule>
    <cfRule type="cellIs" dxfId="2089" priority="1152" operator="equal">
      <formula>"Mayor"</formula>
    </cfRule>
    <cfRule type="cellIs" dxfId="2088" priority="1153" operator="equal">
      <formula>"Moderado"</formula>
    </cfRule>
    <cfRule type="cellIs" dxfId="2087" priority="1154" operator="equal">
      <formula>"Menor"</formula>
    </cfRule>
    <cfRule type="cellIs" dxfId="2086" priority="1155" operator="equal">
      <formula>"Leve"</formula>
    </cfRule>
  </conditionalFormatting>
  <conditionalFormatting sqref="P384:P389">
    <cfRule type="containsText" dxfId="2085" priority="1147" operator="containsText" text="Extremo">
      <formula>NOT(ISERROR(SEARCH("Extremo",P384)))</formula>
    </cfRule>
    <cfRule type="containsText" dxfId="2084" priority="1148" operator="containsText" text="Alto">
      <formula>NOT(ISERROR(SEARCH("Alto",P384)))</formula>
    </cfRule>
    <cfRule type="containsText" dxfId="2083" priority="1149" operator="containsText" text="Moderado">
      <formula>NOT(ISERROR(SEARCH("Moderado",P384)))</formula>
    </cfRule>
    <cfRule type="containsText" dxfId="2082" priority="1150" operator="containsText" text="Bajo">
      <formula>NOT(ISERROR(SEARCH("Bajo",P384)))</formula>
    </cfRule>
  </conditionalFormatting>
  <conditionalFormatting sqref="AC384:AC389">
    <cfRule type="cellIs" dxfId="2081" priority="1142" operator="equal">
      <formula>"Muy Alta"</formula>
    </cfRule>
    <cfRule type="cellIs" dxfId="2080" priority="1143" operator="equal">
      <formula>"Alta"</formula>
    </cfRule>
    <cfRule type="cellIs" dxfId="2079" priority="1144" operator="equal">
      <formula>"Media"</formula>
    </cfRule>
    <cfRule type="cellIs" dxfId="2078" priority="1145" operator="equal">
      <formula>"Baja"</formula>
    </cfRule>
    <cfRule type="cellIs" dxfId="2077" priority="1146" operator="equal">
      <formula>"Muy Baja"</formula>
    </cfRule>
  </conditionalFormatting>
  <conditionalFormatting sqref="AG384:AG389">
    <cfRule type="cellIs" dxfId="2076" priority="1137" operator="equal">
      <formula>"Catastrófico"</formula>
    </cfRule>
    <cfRule type="cellIs" dxfId="2075" priority="1138" operator="equal">
      <formula>"Mayor"</formula>
    </cfRule>
    <cfRule type="cellIs" dxfId="2074" priority="1139" operator="equal">
      <formula>"Moderado"</formula>
    </cfRule>
    <cfRule type="cellIs" dxfId="2073" priority="1140" operator="equal">
      <formula>"Menor"</formula>
    </cfRule>
    <cfRule type="cellIs" dxfId="2072" priority="1141" operator="equal">
      <formula>"Leve"</formula>
    </cfRule>
  </conditionalFormatting>
  <conditionalFormatting sqref="K384:K389">
    <cfRule type="cellIs" dxfId="2071" priority="1132" operator="equal">
      <formula>"Muy Alta"</formula>
    </cfRule>
    <cfRule type="cellIs" dxfId="2070" priority="1133" operator="equal">
      <formula>"Alta"</formula>
    </cfRule>
    <cfRule type="cellIs" dxfId="2069" priority="1134" operator="equal">
      <formula>"Media"</formula>
    </cfRule>
    <cfRule type="cellIs" dxfId="2068" priority="1135" operator="equal">
      <formula>"Baja"</formula>
    </cfRule>
    <cfRule type="cellIs" dxfId="2067" priority="1136" operator="equal">
      <formula>"Muy Baja"</formula>
    </cfRule>
  </conditionalFormatting>
  <conditionalFormatting sqref="N384:N389">
    <cfRule type="cellIs" dxfId="2066" priority="1127" operator="equal">
      <formula>"Mayor"</formula>
    </cfRule>
    <cfRule type="cellIs" dxfId="2065" priority="1128" operator="equal">
      <formula>"Moderado"</formula>
    </cfRule>
    <cfRule type="cellIs" dxfId="2064" priority="1129" operator="equal">
      <formula>"Menor"</formula>
    </cfRule>
    <cfRule type="cellIs" dxfId="2063" priority="1130" operator="equal">
      <formula>"Leve"</formula>
    </cfRule>
    <cfRule type="cellIs" dxfId="2062" priority="1131" operator="equal">
      <formula>"Catastrófico"</formula>
    </cfRule>
  </conditionalFormatting>
  <conditionalFormatting sqref="AH384:AH389">
    <cfRule type="cellIs" dxfId="2061" priority="1123" operator="equal">
      <formula>"Extremo"</formula>
    </cfRule>
    <cfRule type="cellIs" dxfId="2060" priority="1124" operator="equal">
      <formula>"Alto"</formula>
    </cfRule>
    <cfRule type="cellIs" dxfId="2059" priority="1125" operator="equal">
      <formula>"Moderado"</formula>
    </cfRule>
    <cfRule type="cellIs" dxfId="2058" priority="1126" operator="equal">
      <formula>"Bajo"</formula>
    </cfRule>
  </conditionalFormatting>
  <conditionalFormatting sqref="AG402:AG425">
    <cfRule type="cellIs" dxfId="2057" priority="671" operator="equal">
      <formula>"Catastrófico"</formula>
    </cfRule>
    <cfRule type="cellIs" dxfId="2056" priority="672" operator="equal">
      <formula>"Mayor"</formula>
    </cfRule>
    <cfRule type="cellIs" dxfId="2055" priority="673" operator="equal">
      <formula>"Moderado"</formula>
    </cfRule>
    <cfRule type="cellIs" dxfId="2054" priority="674" operator="equal">
      <formula>"Menor"</formula>
    </cfRule>
    <cfRule type="cellIs" dxfId="2053" priority="675" operator="equal">
      <formula>"Leve"</formula>
    </cfRule>
  </conditionalFormatting>
  <conditionalFormatting sqref="N204:N209">
    <cfRule type="cellIs" dxfId="2052" priority="1052" operator="equal">
      <formula>"Mayor"</formula>
    </cfRule>
    <cfRule type="cellIs" dxfId="2051" priority="1053" operator="equal">
      <formula>"Moderado"</formula>
    </cfRule>
    <cfRule type="cellIs" dxfId="2050" priority="1054" operator="equal">
      <formula>"Menor"</formula>
    </cfRule>
    <cfRule type="cellIs" dxfId="2049" priority="1055" operator="equal">
      <formula>"Leve"</formula>
    </cfRule>
    <cfRule type="cellIs" dxfId="2048" priority="1056" operator="equal">
      <formula>"Catastrófico"</formula>
    </cfRule>
  </conditionalFormatting>
  <conditionalFormatting sqref="K204:K209">
    <cfRule type="cellIs" dxfId="2047" priority="1047" operator="equal">
      <formula>"Muy Alta"</formula>
    </cfRule>
    <cfRule type="cellIs" dxfId="2046" priority="1048" operator="equal">
      <formula>"Alta"</formula>
    </cfRule>
    <cfRule type="cellIs" dxfId="2045" priority="1049" operator="equal">
      <formula>"Media"</formula>
    </cfRule>
    <cfRule type="cellIs" dxfId="2044" priority="1050" operator="equal">
      <formula>"Baja"</formula>
    </cfRule>
    <cfRule type="cellIs" dxfId="2043" priority="1051" operator="equal">
      <formula>"Muy Baja"</formula>
    </cfRule>
  </conditionalFormatting>
  <conditionalFormatting sqref="P204:P209">
    <cfRule type="containsText" dxfId="2042" priority="1043" operator="containsText" text="Extremo">
      <formula>NOT(ISERROR(SEARCH("Extremo",P204)))</formula>
    </cfRule>
    <cfRule type="containsText" dxfId="2041" priority="1044" operator="containsText" text="Alto">
      <formula>NOT(ISERROR(SEARCH("Alto",P204)))</formula>
    </cfRule>
    <cfRule type="containsText" dxfId="2040" priority="1045" operator="containsText" text="Moderado">
      <formula>NOT(ISERROR(SEARCH("Moderado",P204)))</formula>
    </cfRule>
    <cfRule type="containsText" dxfId="2039" priority="1046" operator="containsText" text="Bajo">
      <formula>NOT(ISERROR(SEARCH("Bajo",P204)))</formula>
    </cfRule>
  </conditionalFormatting>
  <conditionalFormatting sqref="AC204:AC209">
    <cfRule type="cellIs" dxfId="2038" priority="1034" operator="equal">
      <formula>"Muy Alta"</formula>
    </cfRule>
    <cfRule type="cellIs" dxfId="2037" priority="1035" operator="equal">
      <formula>"Alta"</formula>
    </cfRule>
    <cfRule type="cellIs" dxfId="2036" priority="1036" operator="equal">
      <formula>"Media"</formula>
    </cfRule>
    <cfRule type="cellIs" dxfId="2035" priority="1037" operator="equal">
      <formula>"Baja"</formula>
    </cfRule>
    <cfRule type="cellIs" dxfId="2034" priority="1038" operator="equal">
      <formula>"Muy Baja"</formula>
    </cfRule>
  </conditionalFormatting>
  <conditionalFormatting sqref="AG204:AG209">
    <cfRule type="cellIs" dxfId="2033" priority="1024" operator="equal">
      <formula>"Catastrófico"</formula>
    </cfRule>
    <cfRule type="cellIs" dxfId="2032" priority="1025" operator="equal">
      <formula>"Mayor"</formula>
    </cfRule>
    <cfRule type="cellIs" dxfId="2031" priority="1026" operator="equal">
      <formula>"Moderado"</formula>
    </cfRule>
    <cfRule type="cellIs" dxfId="2030" priority="1027" operator="equal">
      <formula>"Menor"</formula>
    </cfRule>
    <cfRule type="cellIs" dxfId="2029" priority="1028" operator="equal">
      <formula>"Leve"</formula>
    </cfRule>
  </conditionalFormatting>
  <conditionalFormatting sqref="AG222:AG245">
    <cfRule type="cellIs" dxfId="2028" priority="963" operator="equal">
      <formula>"Catastrófico"</formula>
    </cfRule>
    <cfRule type="cellIs" dxfId="2027" priority="964" operator="equal">
      <formula>"Mayor"</formula>
    </cfRule>
    <cfRule type="cellIs" dxfId="2026" priority="965" operator="equal">
      <formula>"Moderado"</formula>
    </cfRule>
    <cfRule type="cellIs" dxfId="2025" priority="966" operator="equal">
      <formula>"Menor"</formula>
    </cfRule>
    <cfRule type="cellIs" dxfId="2024" priority="967" operator="equal">
      <formula>"Leve"</formula>
    </cfRule>
  </conditionalFormatting>
  <conditionalFormatting sqref="AH204:AH209">
    <cfRule type="cellIs" dxfId="2023" priority="1005" operator="equal">
      <formula>"Extremo"</formula>
    </cfRule>
    <cfRule type="cellIs" dxfId="2022" priority="1006" operator="equal">
      <formula>"Alto"</formula>
    </cfRule>
    <cfRule type="cellIs" dxfId="2021" priority="1007" operator="equal">
      <formula>"Moderado"</formula>
    </cfRule>
    <cfRule type="cellIs" dxfId="2020" priority="1008" operator="equal">
      <formula>"Bajo"</formula>
    </cfRule>
  </conditionalFormatting>
  <conditionalFormatting sqref="P222:P245">
    <cfRule type="containsText" dxfId="2019" priority="987" operator="containsText" text="Extremo">
      <formula>NOT(ISERROR(SEARCH("Extremo",P222)))</formula>
    </cfRule>
    <cfRule type="containsText" dxfId="2018" priority="988" operator="containsText" text="Alto">
      <formula>NOT(ISERROR(SEARCH("Alto",P222)))</formula>
    </cfRule>
    <cfRule type="containsText" dxfId="2017" priority="989" operator="containsText" text="Moderado">
      <formula>NOT(ISERROR(SEARCH("Moderado",P222)))</formula>
    </cfRule>
    <cfRule type="containsText" dxfId="2016" priority="990" operator="containsText" text="Bajo">
      <formula>NOT(ISERROR(SEARCH("Bajo",P222)))</formula>
    </cfRule>
  </conditionalFormatting>
  <conditionalFormatting sqref="AC222:AC245">
    <cfRule type="cellIs" dxfId="2015" priority="982" operator="equal">
      <formula>"Muy Alta"</formula>
    </cfRule>
    <cfRule type="cellIs" dxfId="2014" priority="983" operator="equal">
      <formula>"Alta"</formula>
    </cfRule>
    <cfRule type="cellIs" dxfId="2013" priority="984" operator="equal">
      <formula>"Media"</formula>
    </cfRule>
    <cfRule type="cellIs" dxfId="2012" priority="985" operator="equal">
      <formula>"Baja"</formula>
    </cfRule>
    <cfRule type="cellIs" dxfId="2011" priority="986" operator="equal">
      <formula>"Muy Baja"</formula>
    </cfRule>
  </conditionalFormatting>
  <conditionalFormatting sqref="K222:K245">
    <cfRule type="cellIs" dxfId="2010" priority="977" operator="equal">
      <formula>"Muy Alta"</formula>
    </cfRule>
    <cfRule type="cellIs" dxfId="2009" priority="978" operator="equal">
      <formula>"Alta"</formula>
    </cfRule>
    <cfRule type="cellIs" dxfId="2008" priority="979" operator="equal">
      <formula>"Media"</formula>
    </cfRule>
    <cfRule type="cellIs" dxfId="2007" priority="980" operator="equal">
      <formula>"Baja"</formula>
    </cfRule>
    <cfRule type="cellIs" dxfId="2006" priority="981" operator="equal">
      <formula>"Muy Baja"</formula>
    </cfRule>
  </conditionalFormatting>
  <conditionalFormatting sqref="N222:N245">
    <cfRule type="cellIs" dxfId="2005" priority="972" operator="equal">
      <formula>"Mayor"</formula>
    </cfRule>
    <cfRule type="cellIs" dxfId="2004" priority="973" operator="equal">
      <formula>"Moderado"</formula>
    </cfRule>
    <cfRule type="cellIs" dxfId="2003" priority="974" operator="equal">
      <formula>"Menor"</formula>
    </cfRule>
    <cfRule type="cellIs" dxfId="2002" priority="975" operator="equal">
      <formula>"Leve"</formula>
    </cfRule>
    <cfRule type="cellIs" dxfId="2001" priority="976" operator="equal">
      <formula>"Catastrófico"</formula>
    </cfRule>
  </conditionalFormatting>
  <conditionalFormatting sqref="AH222:AH245">
    <cfRule type="cellIs" dxfId="2000" priority="968" operator="equal">
      <formula>"Extremo"</formula>
    </cfRule>
    <cfRule type="cellIs" dxfId="1999" priority="969" operator="equal">
      <formula>"Alto"</formula>
    </cfRule>
    <cfRule type="cellIs" dxfId="1998" priority="970" operator="equal">
      <formula>"Moderado"</formula>
    </cfRule>
    <cfRule type="cellIs" dxfId="1997" priority="971" operator="equal">
      <formula>"Bajo"</formula>
    </cfRule>
  </conditionalFormatting>
  <conditionalFormatting sqref="N246:N251">
    <cfRule type="cellIs" dxfId="1996" priority="958" operator="equal">
      <formula>"Mayor"</formula>
    </cfRule>
    <cfRule type="cellIs" dxfId="1995" priority="959" operator="equal">
      <formula>"Moderado"</formula>
    </cfRule>
    <cfRule type="cellIs" dxfId="1994" priority="960" operator="equal">
      <formula>"Menor"</formula>
    </cfRule>
    <cfRule type="cellIs" dxfId="1993" priority="961" operator="equal">
      <formula>"Leve"</formula>
    </cfRule>
    <cfRule type="cellIs" dxfId="1992" priority="962" operator="equal">
      <formula>"Catastrófico"</formula>
    </cfRule>
  </conditionalFormatting>
  <conditionalFormatting sqref="K246:K251">
    <cfRule type="cellIs" dxfId="1991" priority="953" operator="equal">
      <formula>"Muy Alta"</formula>
    </cfRule>
    <cfRule type="cellIs" dxfId="1990" priority="954" operator="equal">
      <formula>"Alta"</formula>
    </cfRule>
    <cfRule type="cellIs" dxfId="1989" priority="955" operator="equal">
      <formula>"Media"</formula>
    </cfRule>
    <cfRule type="cellIs" dxfId="1988" priority="956" operator="equal">
      <formula>"Baja"</formula>
    </cfRule>
    <cfRule type="cellIs" dxfId="1987" priority="957" operator="equal">
      <formula>"Muy Baja"</formula>
    </cfRule>
  </conditionalFormatting>
  <conditionalFormatting sqref="P246:P269">
    <cfRule type="containsText" dxfId="1986" priority="949" operator="containsText" text="Extremo">
      <formula>NOT(ISERROR(SEARCH("Extremo",P246)))</formula>
    </cfRule>
    <cfRule type="containsText" dxfId="1985" priority="950" operator="containsText" text="Alto">
      <formula>NOT(ISERROR(SEARCH("Alto",P246)))</formula>
    </cfRule>
    <cfRule type="containsText" dxfId="1984" priority="951" operator="containsText" text="Moderado">
      <formula>NOT(ISERROR(SEARCH("Moderado",P246)))</formula>
    </cfRule>
    <cfRule type="containsText" dxfId="1983" priority="952" operator="containsText" text="Bajo">
      <formula>NOT(ISERROR(SEARCH("Bajo",P246)))</formula>
    </cfRule>
  </conditionalFormatting>
  <conditionalFormatting sqref="AC246:AC269">
    <cfRule type="cellIs" dxfId="1982" priority="944" operator="equal">
      <formula>"Muy Alta"</formula>
    </cfRule>
    <cfRule type="cellIs" dxfId="1981" priority="945" operator="equal">
      <formula>"Alta"</formula>
    </cfRule>
    <cfRule type="cellIs" dxfId="1980" priority="946" operator="equal">
      <formula>"Media"</formula>
    </cfRule>
    <cfRule type="cellIs" dxfId="1979" priority="947" operator="equal">
      <formula>"Baja"</formula>
    </cfRule>
    <cfRule type="cellIs" dxfId="1978" priority="948" operator="equal">
      <formula>"Muy Baja"</formula>
    </cfRule>
  </conditionalFormatting>
  <conditionalFormatting sqref="K252:K269">
    <cfRule type="cellIs" dxfId="1977" priority="939" operator="equal">
      <formula>"Muy Alta"</formula>
    </cfRule>
    <cfRule type="cellIs" dxfId="1976" priority="940" operator="equal">
      <formula>"Alta"</formula>
    </cfRule>
    <cfRule type="cellIs" dxfId="1975" priority="941" operator="equal">
      <formula>"Media"</formula>
    </cfRule>
    <cfRule type="cellIs" dxfId="1974" priority="942" operator="equal">
      <formula>"Baja"</formula>
    </cfRule>
    <cfRule type="cellIs" dxfId="1973" priority="943" operator="equal">
      <formula>"Muy Baja"</formula>
    </cfRule>
  </conditionalFormatting>
  <conditionalFormatting sqref="N252:N269">
    <cfRule type="cellIs" dxfId="1972" priority="934" operator="equal">
      <formula>"Mayor"</formula>
    </cfRule>
    <cfRule type="cellIs" dxfId="1971" priority="935" operator="equal">
      <formula>"Moderado"</formula>
    </cfRule>
    <cfRule type="cellIs" dxfId="1970" priority="936" operator="equal">
      <formula>"Menor"</formula>
    </cfRule>
    <cfRule type="cellIs" dxfId="1969" priority="937" operator="equal">
      <formula>"Leve"</formula>
    </cfRule>
    <cfRule type="cellIs" dxfId="1968" priority="938" operator="equal">
      <formula>"Catastrófico"</formula>
    </cfRule>
  </conditionalFormatting>
  <conditionalFormatting sqref="AH246:AH269">
    <cfRule type="cellIs" dxfId="1967" priority="930" operator="equal">
      <formula>"Extremo"</formula>
    </cfRule>
    <cfRule type="cellIs" dxfId="1966" priority="931" operator="equal">
      <formula>"Alto"</formula>
    </cfRule>
    <cfRule type="cellIs" dxfId="1965" priority="932" operator="equal">
      <formula>"Moderado"</formula>
    </cfRule>
    <cfRule type="cellIs" dxfId="1964" priority="933" operator="equal">
      <formula>"Bajo"</formula>
    </cfRule>
  </conditionalFormatting>
  <conditionalFormatting sqref="AG246:AG269">
    <cfRule type="cellIs" dxfId="1963" priority="925" operator="equal">
      <formula>"Catastrófico"</formula>
    </cfRule>
    <cfRule type="cellIs" dxfId="1962" priority="926" operator="equal">
      <formula>"Mayor"</formula>
    </cfRule>
    <cfRule type="cellIs" dxfId="1961" priority="927" operator="equal">
      <formula>"Moderado"</formula>
    </cfRule>
    <cfRule type="cellIs" dxfId="1960" priority="928" operator="equal">
      <formula>"Menor"</formula>
    </cfRule>
    <cfRule type="cellIs" dxfId="1959" priority="929" operator="equal">
      <formula>"Leve"</formula>
    </cfRule>
  </conditionalFormatting>
  <conditionalFormatting sqref="P426:P431">
    <cfRule type="containsText" dxfId="1958" priority="921" operator="containsText" text="Extremo">
      <formula>NOT(ISERROR(SEARCH("Extremo",P426)))</formula>
    </cfRule>
    <cfRule type="containsText" dxfId="1957" priority="922" operator="containsText" text="Alto">
      <formula>NOT(ISERROR(SEARCH("Alto",P426)))</formula>
    </cfRule>
    <cfRule type="containsText" dxfId="1956" priority="923" operator="containsText" text="Moderado">
      <formula>NOT(ISERROR(SEARCH("Moderado",P426)))</formula>
    </cfRule>
    <cfRule type="containsText" dxfId="1955" priority="924" operator="containsText" text="Bajo">
      <formula>NOT(ISERROR(SEARCH("Bajo",P426)))</formula>
    </cfRule>
  </conditionalFormatting>
  <conditionalFormatting sqref="AC426:AC431">
    <cfRule type="cellIs" dxfId="1954" priority="916" operator="equal">
      <formula>"Muy Alta"</formula>
    </cfRule>
    <cfRule type="cellIs" dxfId="1953" priority="917" operator="equal">
      <formula>"Alta"</formula>
    </cfRule>
    <cfRule type="cellIs" dxfId="1952" priority="918" operator="equal">
      <formula>"Media"</formula>
    </cfRule>
    <cfRule type="cellIs" dxfId="1951" priority="919" operator="equal">
      <formula>"Baja"</formula>
    </cfRule>
    <cfRule type="cellIs" dxfId="1950" priority="920" operator="equal">
      <formula>"Muy Baja"</formula>
    </cfRule>
  </conditionalFormatting>
  <conditionalFormatting sqref="K426:K431">
    <cfRule type="cellIs" dxfId="1949" priority="911" operator="equal">
      <formula>"Muy Alta"</formula>
    </cfRule>
    <cfRule type="cellIs" dxfId="1948" priority="912" operator="equal">
      <formula>"Alta"</formula>
    </cfRule>
    <cfRule type="cellIs" dxfId="1947" priority="913" operator="equal">
      <formula>"Media"</formula>
    </cfRule>
    <cfRule type="cellIs" dxfId="1946" priority="914" operator="equal">
      <formula>"Baja"</formula>
    </cfRule>
    <cfRule type="cellIs" dxfId="1945" priority="915" operator="equal">
      <formula>"Muy Baja"</formula>
    </cfRule>
  </conditionalFormatting>
  <conditionalFormatting sqref="N426:N431">
    <cfRule type="cellIs" dxfId="1944" priority="906" operator="equal">
      <formula>"Mayor"</formula>
    </cfRule>
    <cfRule type="cellIs" dxfId="1943" priority="907" operator="equal">
      <formula>"Moderado"</formula>
    </cfRule>
    <cfRule type="cellIs" dxfId="1942" priority="908" operator="equal">
      <formula>"Menor"</formula>
    </cfRule>
    <cfRule type="cellIs" dxfId="1941" priority="909" operator="equal">
      <formula>"Leve"</formula>
    </cfRule>
    <cfRule type="cellIs" dxfId="1940" priority="910" operator="equal">
      <formula>"Catastrófico"</formula>
    </cfRule>
  </conditionalFormatting>
  <conditionalFormatting sqref="AH426:AH431">
    <cfRule type="cellIs" dxfId="1939" priority="902" operator="equal">
      <formula>"Extremo"</formula>
    </cfRule>
    <cfRule type="cellIs" dxfId="1938" priority="903" operator="equal">
      <formula>"Alto"</formula>
    </cfRule>
    <cfRule type="cellIs" dxfId="1937" priority="904" operator="equal">
      <formula>"Moderado"</formula>
    </cfRule>
    <cfRule type="cellIs" dxfId="1936" priority="905" operator="equal">
      <formula>"Bajo"</formula>
    </cfRule>
  </conditionalFormatting>
  <conditionalFormatting sqref="AG426:AG431">
    <cfRule type="cellIs" dxfId="1935" priority="897" operator="equal">
      <formula>"Catastrófico"</formula>
    </cfRule>
    <cfRule type="cellIs" dxfId="1934" priority="898" operator="equal">
      <formula>"Mayor"</formula>
    </cfRule>
    <cfRule type="cellIs" dxfId="1933" priority="899" operator="equal">
      <formula>"Moderado"</formula>
    </cfRule>
    <cfRule type="cellIs" dxfId="1932" priority="900" operator="equal">
      <formula>"Menor"</formula>
    </cfRule>
    <cfRule type="cellIs" dxfId="1931" priority="901" operator="equal">
      <formula>"Leve"</formula>
    </cfRule>
  </conditionalFormatting>
  <conditionalFormatting sqref="P432:P437">
    <cfRule type="containsText" dxfId="1930" priority="893" operator="containsText" text="Extremo">
      <formula>NOT(ISERROR(SEARCH("Extremo",P432)))</formula>
    </cfRule>
    <cfRule type="containsText" dxfId="1929" priority="894" operator="containsText" text="Alto">
      <formula>NOT(ISERROR(SEARCH("Alto",P432)))</formula>
    </cfRule>
    <cfRule type="containsText" dxfId="1928" priority="895" operator="containsText" text="Moderado">
      <formula>NOT(ISERROR(SEARCH("Moderado",P432)))</formula>
    </cfRule>
    <cfRule type="containsText" dxfId="1927" priority="896" operator="containsText" text="Bajo">
      <formula>NOT(ISERROR(SEARCH("Bajo",P432)))</formula>
    </cfRule>
  </conditionalFormatting>
  <conditionalFormatting sqref="AC432:AC437">
    <cfRule type="cellIs" dxfId="1926" priority="888" operator="equal">
      <formula>"Muy Alta"</formula>
    </cfRule>
    <cfRule type="cellIs" dxfId="1925" priority="889" operator="equal">
      <formula>"Alta"</formula>
    </cfRule>
    <cfRule type="cellIs" dxfId="1924" priority="890" operator="equal">
      <formula>"Media"</formula>
    </cfRule>
    <cfRule type="cellIs" dxfId="1923" priority="891" operator="equal">
      <formula>"Baja"</formula>
    </cfRule>
    <cfRule type="cellIs" dxfId="1922" priority="892" operator="equal">
      <formula>"Muy Baja"</formula>
    </cfRule>
  </conditionalFormatting>
  <conditionalFormatting sqref="K432:K437">
    <cfRule type="cellIs" dxfId="1921" priority="883" operator="equal">
      <formula>"Muy Alta"</formula>
    </cfRule>
    <cfRule type="cellIs" dxfId="1920" priority="884" operator="equal">
      <formula>"Alta"</formula>
    </cfRule>
    <cfRule type="cellIs" dxfId="1919" priority="885" operator="equal">
      <formula>"Media"</formula>
    </cfRule>
    <cfRule type="cellIs" dxfId="1918" priority="886" operator="equal">
      <formula>"Baja"</formula>
    </cfRule>
    <cfRule type="cellIs" dxfId="1917" priority="887" operator="equal">
      <formula>"Muy Baja"</formula>
    </cfRule>
  </conditionalFormatting>
  <conditionalFormatting sqref="N432:N437">
    <cfRule type="cellIs" dxfId="1916" priority="878" operator="equal">
      <formula>"Mayor"</formula>
    </cfRule>
    <cfRule type="cellIs" dxfId="1915" priority="879" operator="equal">
      <formula>"Moderado"</formula>
    </cfRule>
    <cfRule type="cellIs" dxfId="1914" priority="880" operator="equal">
      <formula>"Menor"</formula>
    </cfRule>
    <cfRule type="cellIs" dxfId="1913" priority="881" operator="equal">
      <formula>"Leve"</formula>
    </cfRule>
    <cfRule type="cellIs" dxfId="1912" priority="882" operator="equal">
      <formula>"Catastrófico"</formula>
    </cfRule>
  </conditionalFormatting>
  <conditionalFormatting sqref="AH432:AH437">
    <cfRule type="cellIs" dxfId="1911" priority="874" operator="equal">
      <formula>"Extremo"</formula>
    </cfRule>
    <cfRule type="cellIs" dxfId="1910" priority="875" operator="equal">
      <formula>"Alto"</formula>
    </cfRule>
    <cfRule type="cellIs" dxfId="1909" priority="876" operator="equal">
      <formula>"Moderado"</formula>
    </cfRule>
    <cfRule type="cellIs" dxfId="1908" priority="877" operator="equal">
      <formula>"Bajo"</formula>
    </cfRule>
  </conditionalFormatting>
  <conditionalFormatting sqref="AG432:AG437">
    <cfRule type="cellIs" dxfId="1907" priority="869" operator="equal">
      <formula>"Catastrófico"</formula>
    </cfRule>
    <cfRule type="cellIs" dxfId="1906" priority="870" operator="equal">
      <formula>"Mayor"</formula>
    </cfRule>
    <cfRule type="cellIs" dxfId="1905" priority="871" operator="equal">
      <formula>"Moderado"</formula>
    </cfRule>
    <cfRule type="cellIs" dxfId="1904" priority="872" operator="equal">
      <formula>"Menor"</formula>
    </cfRule>
    <cfRule type="cellIs" dxfId="1903" priority="873" operator="equal">
      <formula>"Leve"</formula>
    </cfRule>
  </conditionalFormatting>
  <conditionalFormatting sqref="P456:P461">
    <cfRule type="containsText" dxfId="1902" priority="865" operator="containsText" text="Extremo">
      <formula>NOT(ISERROR(SEARCH("Extremo",P456)))</formula>
    </cfRule>
    <cfRule type="containsText" dxfId="1901" priority="866" operator="containsText" text="Alto">
      <formula>NOT(ISERROR(SEARCH("Alto",P456)))</formula>
    </cfRule>
    <cfRule type="containsText" dxfId="1900" priority="867" operator="containsText" text="Moderado">
      <formula>NOT(ISERROR(SEARCH("Moderado",P456)))</formula>
    </cfRule>
    <cfRule type="containsText" dxfId="1899" priority="868" operator="containsText" text="Bajo">
      <formula>NOT(ISERROR(SEARCH("Bajo",P456)))</formula>
    </cfRule>
  </conditionalFormatting>
  <conditionalFormatting sqref="AC456:AC461">
    <cfRule type="cellIs" dxfId="1898" priority="860" operator="equal">
      <formula>"Muy Alta"</formula>
    </cfRule>
    <cfRule type="cellIs" dxfId="1897" priority="861" operator="equal">
      <formula>"Alta"</formula>
    </cfRule>
    <cfRule type="cellIs" dxfId="1896" priority="862" operator="equal">
      <formula>"Media"</formula>
    </cfRule>
    <cfRule type="cellIs" dxfId="1895" priority="863" operator="equal">
      <formula>"Baja"</formula>
    </cfRule>
    <cfRule type="cellIs" dxfId="1894" priority="864" operator="equal">
      <formula>"Muy Baja"</formula>
    </cfRule>
  </conditionalFormatting>
  <conditionalFormatting sqref="K456:K461">
    <cfRule type="cellIs" dxfId="1893" priority="855" operator="equal">
      <formula>"Muy Alta"</formula>
    </cfRule>
    <cfRule type="cellIs" dxfId="1892" priority="856" operator="equal">
      <formula>"Alta"</formula>
    </cfRule>
    <cfRule type="cellIs" dxfId="1891" priority="857" operator="equal">
      <formula>"Media"</formula>
    </cfRule>
    <cfRule type="cellIs" dxfId="1890" priority="858" operator="equal">
      <formula>"Baja"</formula>
    </cfRule>
    <cfRule type="cellIs" dxfId="1889" priority="859" operator="equal">
      <formula>"Muy Baja"</formula>
    </cfRule>
  </conditionalFormatting>
  <conditionalFormatting sqref="N456:N461">
    <cfRule type="cellIs" dxfId="1888" priority="850" operator="equal">
      <formula>"Mayor"</formula>
    </cfRule>
    <cfRule type="cellIs" dxfId="1887" priority="851" operator="equal">
      <formula>"Moderado"</formula>
    </cfRule>
    <cfRule type="cellIs" dxfId="1886" priority="852" operator="equal">
      <formula>"Menor"</formula>
    </cfRule>
    <cfRule type="cellIs" dxfId="1885" priority="853" operator="equal">
      <formula>"Leve"</formula>
    </cfRule>
    <cfRule type="cellIs" dxfId="1884" priority="854" operator="equal">
      <formula>"Catastrófico"</formula>
    </cfRule>
  </conditionalFormatting>
  <conditionalFormatting sqref="AH456:AH461">
    <cfRule type="cellIs" dxfId="1883" priority="846" operator="equal">
      <formula>"Extremo"</formula>
    </cfRule>
    <cfRule type="cellIs" dxfId="1882" priority="847" operator="equal">
      <formula>"Alto"</formula>
    </cfRule>
    <cfRule type="cellIs" dxfId="1881" priority="848" operator="equal">
      <formula>"Moderado"</formula>
    </cfRule>
    <cfRule type="cellIs" dxfId="1880" priority="849" operator="equal">
      <formula>"Bajo"</formula>
    </cfRule>
  </conditionalFormatting>
  <conditionalFormatting sqref="AG456:AG461">
    <cfRule type="cellIs" dxfId="1879" priority="841" operator="equal">
      <formula>"Catastrófico"</formula>
    </cfRule>
    <cfRule type="cellIs" dxfId="1878" priority="842" operator="equal">
      <formula>"Mayor"</formula>
    </cfRule>
    <cfRule type="cellIs" dxfId="1877" priority="843" operator="equal">
      <formula>"Moderado"</formula>
    </cfRule>
    <cfRule type="cellIs" dxfId="1876" priority="844" operator="equal">
      <formula>"Menor"</formula>
    </cfRule>
    <cfRule type="cellIs" dxfId="1875" priority="845" operator="equal">
      <formula>"Leve"</formula>
    </cfRule>
  </conditionalFormatting>
  <conditionalFormatting sqref="N390:N395">
    <cfRule type="cellIs" dxfId="1874" priority="742" operator="equal">
      <formula>"Mayor"</formula>
    </cfRule>
    <cfRule type="cellIs" dxfId="1873" priority="743" operator="equal">
      <formula>"Moderado"</formula>
    </cfRule>
    <cfRule type="cellIs" dxfId="1872" priority="744" operator="equal">
      <formula>"Menor"</formula>
    </cfRule>
    <cfRule type="cellIs" dxfId="1871" priority="745" operator="equal">
      <formula>"Leve"</formula>
    </cfRule>
    <cfRule type="cellIs" dxfId="1870" priority="746" operator="equal">
      <formula>"Catastrófico"</formula>
    </cfRule>
  </conditionalFormatting>
  <conditionalFormatting sqref="K390:K395">
    <cfRule type="cellIs" dxfId="1869" priority="737" operator="equal">
      <formula>"Muy Alta"</formula>
    </cfRule>
    <cfRule type="cellIs" dxfId="1868" priority="738" operator="equal">
      <formula>"Alta"</formula>
    </cfRule>
    <cfRule type="cellIs" dxfId="1867" priority="739" operator="equal">
      <formula>"Media"</formula>
    </cfRule>
    <cfRule type="cellIs" dxfId="1866" priority="740" operator="equal">
      <formula>"Baja"</formula>
    </cfRule>
    <cfRule type="cellIs" dxfId="1865" priority="741" operator="equal">
      <formula>"Muy Baja"</formula>
    </cfRule>
  </conditionalFormatting>
  <conditionalFormatting sqref="P390:P401">
    <cfRule type="containsText" dxfId="1864" priority="733" operator="containsText" text="Extremo">
      <formula>NOT(ISERROR(SEARCH("Extremo",P390)))</formula>
    </cfRule>
    <cfRule type="containsText" dxfId="1863" priority="734" operator="containsText" text="Alto">
      <formula>NOT(ISERROR(SEARCH("Alto",P390)))</formula>
    </cfRule>
    <cfRule type="containsText" dxfId="1862" priority="735" operator="containsText" text="Moderado">
      <formula>NOT(ISERROR(SEARCH("Moderado",P390)))</formula>
    </cfRule>
    <cfRule type="containsText" dxfId="1861" priority="736" operator="containsText" text="Bajo">
      <formula>NOT(ISERROR(SEARCH("Bajo",P390)))</formula>
    </cfRule>
  </conditionalFormatting>
  <conditionalFormatting sqref="AC390:AC401">
    <cfRule type="cellIs" dxfId="1860" priority="728" operator="equal">
      <formula>"Muy Alta"</formula>
    </cfRule>
    <cfRule type="cellIs" dxfId="1859" priority="729" operator="equal">
      <formula>"Alta"</formula>
    </cfRule>
    <cfRule type="cellIs" dxfId="1858" priority="730" operator="equal">
      <formula>"Media"</formula>
    </cfRule>
    <cfRule type="cellIs" dxfId="1857" priority="731" operator="equal">
      <formula>"Baja"</formula>
    </cfRule>
    <cfRule type="cellIs" dxfId="1856" priority="732" operator="equal">
      <formula>"Muy Baja"</formula>
    </cfRule>
  </conditionalFormatting>
  <conditionalFormatting sqref="K396:K401">
    <cfRule type="cellIs" dxfId="1855" priority="723" operator="equal">
      <formula>"Muy Alta"</formula>
    </cfRule>
    <cfRule type="cellIs" dxfId="1854" priority="724" operator="equal">
      <formula>"Alta"</formula>
    </cfRule>
    <cfRule type="cellIs" dxfId="1853" priority="725" operator="equal">
      <formula>"Media"</formula>
    </cfRule>
    <cfRule type="cellIs" dxfId="1852" priority="726" operator="equal">
      <formula>"Baja"</formula>
    </cfRule>
    <cfRule type="cellIs" dxfId="1851" priority="727" operator="equal">
      <formula>"Muy Baja"</formula>
    </cfRule>
  </conditionalFormatting>
  <conditionalFormatting sqref="N396:N401">
    <cfRule type="cellIs" dxfId="1850" priority="718" operator="equal">
      <formula>"Mayor"</formula>
    </cfRule>
    <cfRule type="cellIs" dxfId="1849" priority="719" operator="equal">
      <formula>"Moderado"</formula>
    </cfRule>
    <cfRule type="cellIs" dxfId="1848" priority="720" operator="equal">
      <formula>"Menor"</formula>
    </cfRule>
    <cfRule type="cellIs" dxfId="1847" priority="721" operator="equal">
      <formula>"Leve"</formula>
    </cfRule>
    <cfRule type="cellIs" dxfId="1846" priority="722" operator="equal">
      <formula>"Catastrófico"</formula>
    </cfRule>
  </conditionalFormatting>
  <conditionalFormatting sqref="AH390:AH401">
    <cfRule type="cellIs" dxfId="1845" priority="714" operator="equal">
      <formula>"Extremo"</formula>
    </cfRule>
    <cfRule type="cellIs" dxfId="1844" priority="715" operator="equal">
      <formula>"Alto"</formula>
    </cfRule>
    <cfRule type="cellIs" dxfId="1843" priority="716" operator="equal">
      <formula>"Moderado"</formula>
    </cfRule>
    <cfRule type="cellIs" dxfId="1842" priority="717" operator="equal">
      <formula>"Bajo"</formula>
    </cfRule>
  </conditionalFormatting>
  <conditionalFormatting sqref="AG390:AG401">
    <cfRule type="cellIs" dxfId="1841" priority="709" operator="equal">
      <formula>"Catastrófico"</formula>
    </cfRule>
    <cfRule type="cellIs" dxfId="1840" priority="710" operator="equal">
      <formula>"Mayor"</formula>
    </cfRule>
    <cfRule type="cellIs" dxfId="1839" priority="711" operator="equal">
      <formula>"Moderado"</formula>
    </cfRule>
    <cfRule type="cellIs" dxfId="1838" priority="712" operator="equal">
      <formula>"Menor"</formula>
    </cfRule>
    <cfRule type="cellIs" dxfId="1837" priority="713" operator="equal">
      <formula>"Leve"</formula>
    </cfRule>
  </conditionalFormatting>
  <conditionalFormatting sqref="N402:N407">
    <cfRule type="cellIs" dxfId="1836" priority="704" operator="equal">
      <formula>"Mayor"</formula>
    </cfRule>
    <cfRule type="cellIs" dxfId="1835" priority="705" operator="equal">
      <formula>"Moderado"</formula>
    </cfRule>
    <cfRule type="cellIs" dxfId="1834" priority="706" operator="equal">
      <formula>"Menor"</formula>
    </cfRule>
    <cfRule type="cellIs" dxfId="1833" priority="707" operator="equal">
      <formula>"Leve"</formula>
    </cfRule>
    <cfRule type="cellIs" dxfId="1832" priority="708" operator="equal">
      <formula>"Catastrófico"</formula>
    </cfRule>
  </conditionalFormatting>
  <conditionalFormatting sqref="K402:K407">
    <cfRule type="cellIs" dxfId="1831" priority="699" operator="equal">
      <formula>"Muy Alta"</formula>
    </cfRule>
    <cfRule type="cellIs" dxfId="1830" priority="700" operator="equal">
      <formula>"Alta"</formula>
    </cfRule>
    <cfRule type="cellIs" dxfId="1829" priority="701" operator="equal">
      <formula>"Media"</formula>
    </cfRule>
    <cfRule type="cellIs" dxfId="1828" priority="702" operator="equal">
      <formula>"Baja"</formula>
    </cfRule>
    <cfRule type="cellIs" dxfId="1827" priority="703" operator="equal">
      <formula>"Muy Baja"</formula>
    </cfRule>
  </conditionalFormatting>
  <conditionalFormatting sqref="P402:P425">
    <cfRule type="containsText" dxfId="1826" priority="695" operator="containsText" text="Extremo">
      <formula>NOT(ISERROR(SEARCH("Extremo",P402)))</formula>
    </cfRule>
    <cfRule type="containsText" dxfId="1825" priority="696" operator="containsText" text="Alto">
      <formula>NOT(ISERROR(SEARCH("Alto",P402)))</formula>
    </cfRule>
    <cfRule type="containsText" dxfId="1824" priority="697" operator="containsText" text="Moderado">
      <formula>NOT(ISERROR(SEARCH("Moderado",P402)))</formula>
    </cfRule>
    <cfRule type="containsText" dxfId="1823" priority="698" operator="containsText" text="Bajo">
      <formula>NOT(ISERROR(SEARCH("Bajo",P402)))</formula>
    </cfRule>
  </conditionalFormatting>
  <conditionalFormatting sqref="AC402:AC425">
    <cfRule type="cellIs" dxfId="1822" priority="690" operator="equal">
      <formula>"Muy Alta"</formula>
    </cfRule>
    <cfRule type="cellIs" dxfId="1821" priority="691" operator="equal">
      <formula>"Alta"</formula>
    </cfRule>
    <cfRule type="cellIs" dxfId="1820" priority="692" operator="equal">
      <formula>"Media"</formula>
    </cfRule>
    <cfRule type="cellIs" dxfId="1819" priority="693" operator="equal">
      <formula>"Baja"</formula>
    </cfRule>
    <cfRule type="cellIs" dxfId="1818" priority="694" operator="equal">
      <formula>"Muy Baja"</formula>
    </cfRule>
  </conditionalFormatting>
  <conditionalFormatting sqref="K408:K425">
    <cfRule type="cellIs" dxfId="1817" priority="685" operator="equal">
      <formula>"Muy Alta"</formula>
    </cfRule>
    <cfRule type="cellIs" dxfId="1816" priority="686" operator="equal">
      <formula>"Alta"</formula>
    </cfRule>
    <cfRule type="cellIs" dxfId="1815" priority="687" operator="equal">
      <formula>"Media"</formula>
    </cfRule>
    <cfRule type="cellIs" dxfId="1814" priority="688" operator="equal">
      <formula>"Baja"</formula>
    </cfRule>
    <cfRule type="cellIs" dxfId="1813" priority="689" operator="equal">
      <formula>"Muy Baja"</formula>
    </cfRule>
  </conditionalFormatting>
  <conditionalFormatting sqref="N408:N425">
    <cfRule type="cellIs" dxfId="1812" priority="680" operator="equal">
      <formula>"Mayor"</formula>
    </cfRule>
    <cfRule type="cellIs" dxfId="1811" priority="681" operator="equal">
      <formula>"Moderado"</formula>
    </cfRule>
    <cfRule type="cellIs" dxfId="1810" priority="682" operator="equal">
      <formula>"Menor"</formula>
    </cfRule>
    <cfRule type="cellIs" dxfId="1809" priority="683" operator="equal">
      <formula>"Leve"</formula>
    </cfRule>
    <cfRule type="cellIs" dxfId="1808" priority="684" operator="equal">
      <formula>"Catastrófico"</formula>
    </cfRule>
  </conditionalFormatting>
  <conditionalFormatting sqref="AH402:AH425">
    <cfRule type="cellIs" dxfId="1807" priority="676" operator="equal">
      <formula>"Extremo"</formula>
    </cfRule>
    <cfRule type="cellIs" dxfId="1806" priority="677" operator="equal">
      <formula>"Alto"</formula>
    </cfRule>
    <cfRule type="cellIs" dxfId="1805" priority="678" operator="equal">
      <formula>"Moderado"</formula>
    </cfRule>
    <cfRule type="cellIs" dxfId="1804" priority="679" operator="equal">
      <formula>"Bajo"</formula>
    </cfRule>
  </conditionalFormatting>
  <conditionalFormatting sqref="N30:N35">
    <cfRule type="cellIs" dxfId="1803" priority="624" operator="equal">
      <formula>"Mayor"</formula>
    </cfRule>
    <cfRule type="cellIs" dxfId="1802" priority="625" operator="equal">
      <formula>"Moderado"</formula>
    </cfRule>
    <cfRule type="cellIs" dxfId="1801" priority="626" operator="equal">
      <formula>"Menor"</formula>
    </cfRule>
    <cfRule type="cellIs" dxfId="1800" priority="627" operator="equal">
      <formula>"Leve"</formula>
    </cfRule>
    <cfRule type="cellIs" dxfId="1799" priority="628" operator="equal">
      <formula>"Catastrófico"</formula>
    </cfRule>
  </conditionalFormatting>
  <conditionalFormatting sqref="K30:K35">
    <cfRule type="cellIs" dxfId="1798" priority="619" operator="equal">
      <formula>"Muy Alta"</formula>
    </cfRule>
    <cfRule type="cellIs" dxfId="1797" priority="620" operator="equal">
      <formula>"Alta"</formula>
    </cfRule>
    <cfRule type="cellIs" dxfId="1796" priority="621" operator="equal">
      <formula>"Media"</formula>
    </cfRule>
    <cfRule type="cellIs" dxfId="1795" priority="622" operator="equal">
      <formula>"Baja"</formula>
    </cfRule>
    <cfRule type="cellIs" dxfId="1794" priority="623" operator="equal">
      <formula>"Muy Baja"</formula>
    </cfRule>
  </conditionalFormatting>
  <conditionalFormatting sqref="P30:P53">
    <cfRule type="containsText" dxfId="1793" priority="615" operator="containsText" text="Extremo">
      <formula>NOT(ISERROR(SEARCH("Extremo",P30)))</formula>
    </cfRule>
    <cfRule type="containsText" dxfId="1792" priority="616" operator="containsText" text="Alto">
      <formula>NOT(ISERROR(SEARCH("Alto",P30)))</formula>
    </cfRule>
    <cfRule type="containsText" dxfId="1791" priority="617" operator="containsText" text="Moderado">
      <formula>NOT(ISERROR(SEARCH("Moderado",P30)))</formula>
    </cfRule>
    <cfRule type="containsText" dxfId="1790" priority="618" operator="containsText" text="Bajo">
      <formula>NOT(ISERROR(SEARCH("Bajo",P30)))</formula>
    </cfRule>
  </conditionalFormatting>
  <conditionalFormatting sqref="AC30:AC53">
    <cfRule type="cellIs" dxfId="1789" priority="610" operator="equal">
      <formula>"Muy Alta"</formula>
    </cfRule>
    <cfRule type="cellIs" dxfId="1788" priority="611" operator="equal">
      <formula>"Alta"</formula>
    </cfRule>
    <cfRule type="cellIs" dxfId="1787" priority="612" operator="equal">
      <formula>"Media"</formula>
    </cfRule>
    <cfRule type="cellIs" dxfId="1786" priority="613" operator="equal">
      <formula>"Baja"</formula>
    </cfRule>
    <cfRule type="cellIs" dxfId="1785" priority="614" operator="equal">
      <formula>"Muy Baja"</formula>
    </cfRule>
  </conditionalFormatting>
  <conditionalFormatting sqref="K36:K53">
    <cfRule type="cellIs" dxfId="1784" priority="605" operator="equal">
      <formula>"Muy Alta"</formula>
    </cfRule>
    <cfRule type="cellIs" dxfId="1783" priority="606" operator="equal">
      <formula>"Alta"</formula>
    </cfRule>
    <cfRule type="cellIs" dxfId="1782" priority="607" operator="equal">
      <formula>"Media"</formula>
    </cfRule>
    <cfRule type="cellIs" dxfId="1781" priority="608" operator="equal">
      <formula>"Baja"</formula>
    </cfRule>
    <cfRule type="cellIs" dxfId="1780" priority="609" operator="equal">
      <formula>"Muy Baja"</formula>
    </cfRule>
  </conditionalFormatting>
  <conditionalFormatting sqref="N36:N53">
    <cfRule type="cellIs" dxfId="1779" priority="600" operator="equal">
      <formula>"Mayor"</formula>
    </cfRule>
    <cfRule type="cellIs" dxfId="1778" priority="601" operator="equal">
      <formula>"Moderado"</formula>
    </cfRule>
    <cfRule type="cellIs" dxfId="1777" priority="602" operator="equal">
      <formula>"Menor"</formula>
    </cfRule>
    <cfRule type="cellIs" dxfId="1776" priority="603" operator="equal">
      <formula>"Leve"</formula>
    </cfRule>
    <cfRule type="cellIs" dxfId="1775" priority="604" operator="equal">
      <formula>"Catastrófico"</formula>
    </cfRule>
  </conditionalFormatting>
  <conditionalFormatting sqref="AH30:AH53">
    <cfRule type="cellIs" dxfId="1774" priority="596" operator="equal">
      <formula>"Extremo"</formula>
    </cfRule>
    <cfRule type="cellIs" dxfId="1773" priority="597" operator="equal">
      <formula>"Alto"</formula>
    </cfRule>
    <cfRule type="cellIs" dxfId="1772" priority="598" operator="equal">
      <formula>"Moderado"</formula>
    </cfRule>
    <cfRule type="cellIs" dxfId="1771" priority="599" operator="equal">
      <formula>"Bajo"</formula>
    </cfRule>
  </conditionalFormatting>
  <conditionalFormatting sqref="AG30:AG53">
    <cfRule type="cellIs" dxfId="1770" priority="591" operator="equal">
      <formula>"Catastrófico"</formula>
    </cfRule>
    <cfRule type="cellIs" dxfId="1769" priority="592" operator="equal">
      <formula>"Mayor"</formula>
    </cfRule>
    <cfRule type="cellIs" dxfId="1768" priority="593" operator="equal">
      <formula>"Moderado"</formula>
    </cfRule>
    <cfRule type="cellIs" dxfId="1767" priority="594" operator="equal">
      <formula>"Menor"</formula>
    </cfRule>
    <cfRule type="cellIs" dxfId="1766" priority="595" operator="equal">
      <formula>"Leve"</formula>
    </cfRule>
  </conditionalFormatting>
  <conditionalFormatting sqref="P54:P59">
    <cfRule type="containsText" dxfId="1765" priority="587" operator="containsText" text="Extremo">
      <formula>NOT(ISERROR(SEARCH("Extremo",P54)))</formula>
    </cfRule>
    <cfRule type="containsText" dxfId="1764" priority="588" operator="containsText" text="Alto">
      <formula>NOT(ISERROR(SEARCH("Alto",P54)))</formula>
    </cfRule>
    <cfRule type="containsText" dxfId="1763" priority="589" operator="containsText" text="Moderado">
      <formula>NOT(ISERROR(SEARCH("Moderado",P54)))</formula>
    </cfRule>
    <cfRule type="containsText" dxfId="1762" priority="590" operator="containsText" text="Bajo">
      <formula>NOT(ISERROR(SEARCH("Bajo",P54)))</formula>
    </cfRule>
  </conditionalFormatting>
  <conditionalFormatting sqref="AC54:AC59">
    <cfRule type="cellIs" dxfId="1761" priority="582" operator="equal">
      <formula>"Muy Alta"</formula>
    </cfRule>
    <cfRule type="cellIs" dxfId="1760" priority="583" operator="equal">
      <formula>"Alta"</formula>
    </cfRule>
    <cfRule type="cellIs" dxfId="1759" priority="584" operator="equal">
      <formula>"Media"</formula>
    </cfRule>
    <cfRule type="cellIs" dxfId="1758" priority="585" operator="equal">
      <formula>"Baja"</formula>
    </cfRule>
    <cfRule type="cellIs" dxfId="1757" priority="586" operator="equal">
      <formula>"Muy Baja"</formula>
    </cfRule>
  </conditionalFormatting>
  <conditionalFormatting sqref="K54:K59">
    <cfRule type="cellIs" dxfId="1756" priority="577" operator="equal">
      <formula>"Muy Alta"</formula>
    </cfRule>
    <cfRule type="cellIs" dxfId="1755" priority="578" operator="equal">
      <formula>"Alta"</formula>
    </cfRule>
    <cfRule type="cellIs" dxfId="1754" priority="579" operator="equal">
      <formula>"Media"</formula>
    </cfRule>
    <cfRule type="cellIs" dxfId="1753" priority="580" operator="equal">
      <formula>"Baja"</formula>
    </cfRule>
    <cfRule type="cellIs" dxfId="1752" priority="581" operator="equal">
      <formula>"Muy Baja"</formula>
    </cfRule>
  </conditionalFormatting>
  <conditionalFormatting sqref="N54:N59">
    <cfRule type="cellIs" dxfId="1751" priority="572" operator="equal">
      <formula>"Mayor"</formula>
    </cfRule>
    <cfRule type="cellIs" dxfId="1750" priority="573" operator="equal">
      <formula>"Moderado"</formula>
    </cfRule>
    <cfRule type="cellIs" dxfId="1749" priority="574" operator="equal">
      <formula>"Menor"</formula>
    </cfRule>
    <cfRule type="cellIs" dxfId="1748" priority="575" operator="equal">
      <formula>"Leve"</formula>
    </cfRule>
    <cfRule type="cellIs" dxfId="1747" priority="576" operator="equal">
      <formula>"Catastrófico"</formula>
    </cfRule>
  </conditionalFormatting>
  <conditionalFormatting sqref="AH54:AH59">
    <cfRule type="cellIs" dxfId="1746" priority="568" operator="equal">
      <formula>"Extremo"</formula>
    </cfRule>
    <cfRule type="cellIs" dxfId="1745" priority="569" operator="equal">
      <formula>"Alto"</formula>
    </cfRule>
    <cfRule type="cellIs" dxfId="1744" priority="570" operator="equal">
      <formula>"Moderado"</formula>
    </cfRule>
    <cfRule type="cellIs" dxfId="1743" priority="571" operator="equal">
      <formula>"Bajo"</formula>
    </cfRule>
  </conditionalFormatting>
  <conditionalFormatting sqref="AG54:AG59">
    <cfRule type="cellIs" dxfId="1742" priority="563" operator="equal">
      <formula>"Catastrófico"</formula>
    </cfRule>
    <cfRule type="cellIs" dxfId="1741" priority="564" operator="equal">
      <formula>"Mayor"</formula>
    </cfRule>
    <cfRule type="cellIs" dxfId="1740" priority="565" operator="equal">
      <formula>"Moderado"</formula>
    </cfRule>
    <cfRule type="cellIs" dxfId="1739" priority="566" operator="equal">
      <formula>"Menor"</formula>
    </cfRule>
    <cfRule type="cellIs" dxfId="1738" priority="567" operator="equal">
      <formula>"Leve"</formula>
    </cfRule>
  </conditionalFormatting>
  <conditionalFormatting sqref="P60:P65">
    <cfRule type="containsText" dxfId="1737" priority="559" operator="containsText" text="Extremo">
      <formula>NOT(ISERROR(SEARCH("Extremo",P60)))</formula>
    </cfRule>
    <cfRule type="containsText" dxfId="1736" priority="560" operator="containsText" text="Alto">
      <formula>NOT(ISERROR(SEARCH("Alto",P60)))</formula>
    </cfRule>
    <cfRule type="containsText" dxfId="1735" priority="561" operator="containsText" text="Moderado">
      <formula>NOT(ISERROR(SEARCH("Moderado",P60)))</formula>
    </cfRule>
    <cfRule type="containsText" dxfId="1734" priority="562" operator="containsText" text="Bajo">
      <formula>NOT(ISERROR(SEARCH("Bajo",P60)))</formula>
    </cfRule>
  </conditionalFormatting>
  <conditionalFormatting sqref="AC60:AC65">
    <cfRule type="cellIs" dxfId="1733" priority="554" operator="equal">
      <formula>"Muy Alta"</formula>
    </cfRule>
    <cfRule type="cellIs" dxfId="1732" priority="555" operator="equal">
      <formula>"Alta"</formula>
    </cfRule>
    <cfRule type="cellIs" dxfId="1731" priority="556" operator="equal">
      <formula>"Media"</formula>
    </cfRule>
    <cfRule type="cellIs" dxfId="1730" priority="557" operator="equal">
      <formula>"Baja"</formula>
    </cfRule>
    <cfRule type="cellIs" dxfId="1729" priority="558" operator="equal">
      <formula>"Muy Baja"</formula>
    </cfRule>
  </conditionalFormatting>
  <conditionalFormatting sqref="K60:K65">
    <cfRule type="cellIs" dxfId="1728" priority="549" operator="equal">
      <formula>"Muy Alta"</formula>
    </cfRule>
    <cfRule type="cellIs" dxfId="1727" priority="550" operator="equal">
      <formula>"Alta"</formula>
    </cfRule>
    <cfRule type="cellIs" dxfId="1726" priority="551" operator="equal">
      <formula>"Media"</formula>
    </cfRule>
    <cfRule type="cellIs" dxfId="1725" priority="552" operator="equal">
      <formula>"Baja"</formula>
    </cfRule>
    <cfRule type="cellIs" dxfId="1724" priority="553" operator="equal">
      <formula>"Muy Baja"</formula>
    </cfRule>
  </conditionalFormatting>
  <conditionalFormatting sqref="N60:N65">
    <cfRule type="cellIs" dxfId="1723" priority="544" operator="equal">
      <formula>"Mayor"</formula>
    </cfRule>
    <cfRule type="cellIs" dxfId="1722" priority="545" operator="equal">
      <formula>"Moderado"</formula>
    </cfRule>
    <cfRule type="cellIs" dxfId="1721" priority="546" operator="equal">
      <formula>"Menor"</formula>
    </cfRule>
    <cfRule type="cellIs" dxfId="1720" priority="547" operator="equal">
      <formula>"Leve"</formula>
    </cfRule>
    <cfRule type="cellIs" dxfId="1719" priority="548" operator="equal">
      <formula>"Catastrófico"</formula>
    </cfRule>
  </conditionalFormatting>
  <conditionalFormatting sqref="AH60:AH65">
    <cfRule type="cellIs" dxfId="1718" priority="540" operator="equal">
      <formula>"Extremo"</formula>
    </cfRule>
    <cfRule type="cellIs" dxfId="1717" priority="541" operator="equal">
      <formula>"Alto"</formula>
    </cfRule>
    <cfRule type="cellIs" dxfId="1716" priority="542" operator="equal">
      <formula>"Moderado"</formula>
    </cfRule>
    <cfRule type="cellIs" dxfId="1715" priority="543" operator="equal">
      <formula>"Bajo"</formula>
    </cfRule>
  </conditionalFormatting>
  <conditionalFormatting sqref="AG60:AG65">
    <cfRule type="cellIs" dxfId="1714" priority="535" operator="equal">
      <formula>"Catastrófico"</formula>
    </cfRule>
    <cfRule type="cellIs" dxfId="1713" priority="536" operator="equal">
      <formula>"Mayor"</formula>
    </cfRule>
    <cfRule type="cellIs" dxfId="1712" priority="537" operator="equal">
      <formula>"Moderado"</formula>
    </cfRule>
    <cfRule type="cellIs" dxfId="1711" priority="538" operator="equal">
      <formula>"Menor"</formula>
    </cfRule>
    <cfRule type="cellIs" dxfId="1710" priority="539" operator="equal">
      <formula>"Leve"</formula>
    </cfRule>
  </conditionalFormatting>
  <conditionalFormatting sqref="N66:N71">
    <cfRule type="cellIs" dxfId="1709" priority="530" operator="equal">
      <formula>"Mayor"</formula>
    </cfRule>
    <cfRule type="cellIs" dxfId="1708" priority="531" operator="equal">
      <formula>"Moderado"</formula>
    </cfRule>
    <cfRule type="cellIs" dxfId="1707" priority="532" operator="equal">
      <formula>"Menor"</formula>
    </cfRule>
    <cfRule type="cellIs" dxfId="1706" priority="533" operator="equal">
      <formula>"Leve"</formula>
    </cfRule>
    <cfRule type="cellIs" dxfId="1705" priority="534" operator="equal">
      <formula>"Catastrófico"</formula>
    </cfRule>
  </conditionalFormatting>
  <conditionalFormatting sqref="K66:K71">
    <cfRule type="cellIs" dxfId="1704" priority="525" operator="equal">
      <formula>"Muy Alta"</formula>
    </cfRule>
    <cfRule type="cellIs" dxfId="1703" priority="526" operator="equal">
      <formula>"Alta"</formula>
    </cfRule>
    <cfRule type="cellIs" dxfId="1702" priority="527" operator="equal">
      <formula>"Media"</formula>
    </cfRule>
    <cfRule type="cellIs" dxfId="1701" priority="528" operator="equal">
      <formula>"Baja"</formula>
    </cfRule>
    <cfRule type="cellIs" dxfId="1700" priority="529" operator="equal">
      <formula>"Muy Baja"</formula>
    </cfRule>
  </conditionalFormatting>
  <conditionalFormatting sqref="P66:P77">
    <cfRule type="containsText" dxfId="1699" priority="521" operator="containsText" text="Extremo">
      <formula>NOT(ISERROR(SEARCH("Extremo",P66)))</formula>
    </cfRule>
    <cfRule type="containsText" dxfId="1698" priority="522" operator="containsText" text="Alto">
      <formula>NOT(ISERROR(SEARCH("Alto",P66)))</formula>
    </cfRule>
    <cfRule type="containsText" dxfId="1697" priority="523" operator="containsText" text="Moderado">
      <formula>NOT(ISERROR(SEARCH("Moderado",P66)))</formula>
    </cfRule>
    <cfRule type="containsText" dxfId="1696" priority="524" operator="containsText" text="Bajo">
      <formula>NOT(ISERROR(SEARCH("Bajo",P66)))</formula>
    </cfRule>
  </conditionalFormatting>
  <conditionalFormatting sqref="AC66:AC77">
    <cfRule type="cellIs" dxfId="1695" priority="516" operator="equal">
      <formula>"Muy Alta"</formula>
    </cfRule>
    <cfRule type="cellIs" dxfId="1694" priority="517" operator="equal">
      <formula>"Alta"</formula>
    </cfRule>
    <cfRule type="cellIs" dxfId="1693" priority="518" operator="equal">
      <formula>"Media"</formula>
    </cfRule>
    <cfRule type="cellIs" dxfId="1692" priority="519" operator="equal">
      <formula>"Baja"</formula>
    </cfRule>
    <cfRule type="cellIs" dxfId="1691" priority="520" operator="equal">
      <formula>"Muy Baja"</formula>
    </cfRule>
  </conditionalFormatting>
  <conditionalFormatting sqref="K72:K77">
    <cfRule type="cellIs" dxfId="1690" priority="511" operator="equal">
      <formula>"Muy Alta"</formula>
    </cfRule>
    <cfRule type="cellIs" dxfId="1689" priority="512" operator="equal">
      <formula>"Alta"</formula>
    </cfRule>
    <cfRule type="cellIs" dxfId="1688" priority="513" operator="equal">
      <formula>"Media"</formula>
    </cfRule>
    <cfRule type="cellIs" dxfId="1687" priority="514" operator="equal">
      <formula>"Baja"</formula>
    </cfRule>
    <cfRule type="cellIs" dxfId="1686" priority="515" operator="equal">
      <formula>"Muy Baja"</formula>
    </cfRule>
  </conditionalFormatting>
  <conditionalFormatting sqref="N72:N77">
    <cfRule type="cellIs" dxfId="1685" priority="506" operator="equal">
      <formula>"Mayor"</formula>
    </cfRule>
    <cfRule type="cellIs" dxfId="1684" priority="507" operator="equal">
      <formula>"Moderado"</formula>
    </cfRule>
    <cfRule type="cellIs" dxfId="1683" priority="508" operator="equal">
      <formula>"Menor"</formula>
    </cfRule>
    <cfRule type="cellIs" dxfId="1682" priority="509" operator="equal">
      <formula>"Leve"</formula>
    </cfRule>
    <cfRule type="cellIs" dxfId="1681" priority="510" operator="equal">
      <formula>"Catastrófico"</formula>
    </cfRule>
  </conditionalFormatting>
  <conditionalFormatting sqref="AH66:AH77">
    <cfRule type="cellIs" dxfId="1680" priority="502" operator="equal">
      <formula>"Extremo"</formula>
    </cfRule>
    <cfRule type="cellIs" dxfId="1679" priority="503" operator="equal">
      <formula>"Alto"</formula>
    </cfRule>
    <cfRule type="cellIs" dxfId="1678" priority="504" operator="equal">
      <formula>"Moderado"</formula>
    </cfRule>
    <cfRule type="cellIs" dxfId="1677" priority="505" operator="equal">
      <formula>"Bajo"</formula>
    </cfRule>
  </conditionalFormatting>
  <conditionalFormatting sqref="AG66:AG77">
    <cfRule type="cellIs" dxfId="1676" priority="497" operator="equal">
      <formula>"Catastrófico"</formula>
    </cfRule>
    <cfRule type="cellIs" dxfId="1675" priority="498" operator="equal">
      <formula>"Mayor"</formula>
    </cfRule>
    <cfRule type="cellIs" dxfId="1674" priority="499" operator="equal">
      <formula>"Moderado"</formula>
    </cfRule>
    <cfRule type="cellIs" dxfId="1673" priority="500" operator="equal">
      <formula>"Menor"</formula>
    </cfRule>
    <cfRule type="cellIs" dxfId="1672" priority="501" operator="equal">
      <formula>"Leve"</formula>
    </cfRule>
  </conditionalFormatting>
  <conditionalFormatting sqref="N78:N83">
    <cfRule type="cellIs" dxfId="1671" priority="492" operator="equal">
      <formula>"Mayor"</formula>
    </cfRule>
    <cfRule type="cellIs" dxfId="1670" priority="493" operator="equal">
      <formula>"Moderado"</formula>
    </cfRule>
    <cfRule type="cellIs" dxfId="1669" priority="494" operator="equal">
      <formula>"Menor"</formula>
    </cfRule>
    <cfRule type="cellIs" dxfId="1668" priority="495" operator="equal">
      <formula>"Leve"</formula>
    </cfRule>
    <cfRule type="cellIs" dxfId="1667" priority="496" operator="equal">
      <formula>"Catastrófico"</formula>
    </cfRule>
  </conditionalFormatting>
  <conditionalFormatting sqref="K78:K83">
    <cfRule type="cellIs" dxfId="1666" priority="487" operator="equal">
      <formula>"Muy Alta"</formula>
    </cfRule>
    <cfRule type="cellIs" dxfId="1665" priority="488" operator="equal">
      <formula>"Alta"</formula>
    </cfRule>
    <cfRule type="cellIs" dxfId="1664" priority="489" operator="equal">
      <formula>"Media"</formula>
    </cfRule>
    <cfRule type="cellIs" dxfId="1663" priority="490" operator="equal">
      <formula>"Baja"</formula>
    </cfRule>
    <cfRule type="cellIs" dxfId="1662" priority="491" operator="equal">
      <formula>"Muy Baja"</formula>
    </cfRule>
  </conditionalFormatting>
  <conditionalFormatting sqref="P78:P83">
    <cfRule type="containsText" dxfId="1661" priority="483" operator="containsText" text="Extremo">
      <formula>NOT(ISERROR(SEARCH("Extremo",P78)))</formula>
    </cfRule>
    <cfRule type="containsText" dxfId="1660" priority="484" operator="containsText" text="Alto">
      <formula>NOT(ISERROR(SEARCH("Alto",P78)))</formula>
    </cfRule>
    <cfRule type="containsText" dxfId="1659" priority="485" operator="containsText" text="Moderado">
      <formula>NOT(ISERROR(SEARCH("Moderado",P78)))</formula>
    </cfRule>
    <cfRule type="containsText" dxfId="1658" priority="486" operator="containsText" text="Bajo">
      <formula>NOT(ISERROR(SEARCH("Bajo",P78)))</formula>
    </cfRule>
  </conditionalFormatting>
  <conditionalFormatting sqref="AC78:AC83">
    <cfRule type="cellIs" dxfId="1657" priority="478" operator="equal">
      <formula>"Muy Alta"</formula>
    </cfRule>
    <cfRule type="cellIs" dxfId="1656" priority="479" operator="equal">
      <formula>"Alta"</formula>
    </cfRule>
    <cfRule type="cellIs" dxfId="1655" priority="480" operator="equal">
      <formula>"Media"</formula>
    </cfRule>
    <cfRule type="cellIs" dxfId="1654" priority="481" operator="equal">
      <formula>"Baja"</formula>
    </cfRule>
    <cfRule type="cellIs" dxfId="1653" priority="482" operator="equal">
      <formula>"Muy Baja"</formula>
    </cfRule>
  </conditionalFormatting>
  <conditionalFormatting sqref="AG78:AG83">
    <cfRule type="cellIs" dxfId="1652" priority="473" operator="equal">
      <formula>"Catastrófico"</formula>
    </cfRule>
    <cfRule type="cellIs" dxfId="1651" priority="474" operator="equal">
      <formula>"Mayor"</formula>
    </cfRule>
    <cfRule type="cellIs" dxfId="1650" priority="475" operator="equal">
      <formula>"Moderado"</formula>
    </cfRule>
    <cfRule type="cellIs" dxfId="1649" priority="476" operator="equal">
      <formula>"Menor"</formula>
    </cfRule>
    <cfRule type="cellIs" dxfId="1648" priority="477" operator="equal">
      <formula>"Leve"</formula>
    </cfRule>
  </conditionalFormatting>
  <conditionalFormatting sqref="AH78:AH83">
    <cfRule type="cellIs" dxfId="1647" priority="469" operator="equal">
      <formula>"Extremo"</formula>
    </cfRule>
    <cfRule type="cellIs" dxfId="1646" priority="470" operator="equal">
      <formula>"Alto"</formula>
    </cfRule>
    <cfRule type="cellIs" dxfId="1645" priority="471" operator="equal">
      <formula>"Moderado"</formula>
    </cfRule>
    <cfRule type="cellIs" dxfId="1644" priority="472" operator="equal">
      <formula>"Bajo"</formula>
    </cfRule>
  </conditionalFormatting>
  <conditionalFormatting sqref="N132:N137">
    <cfRule type="cellIs" dxfId="1643" priority="464" operator="equal">
      <formula>"Mayor"</formula>
    </cfRule>
    <cfRule type="cellIs" dxfId="1642" priority="465" operator="equal">
      <formula>"Moderado"</formula>
    </cfRule>
    <cfRule type="cellIs" dxfId="1641" priority="466" operator="equal">
      <formula>"Menor"</formula>
    </cfRule>
    <cfRule type="cellIs" dxfId="1640" priority="467" operator="equal">
      <formula>"Leve"</formula>
    </cfRule>
    <cfRule type="cellIs" dxfId="1639" priority="468" operator="equal">
      <formula>"Catastrófico"</formula>
    </cfRule>
  </conditionalFormatting>
  <conditionalFormatting sqref="K132:K137">
    <cfRule type="cellIs" dxfId="1638" priority="459" operator="equal">
      <formula>"Muy Alta"</formula>
    </cfRule>
    <cfRule type="cellIs" dxfId="1637" priority="460" operator="equal">
      <formula>"Alta"</formula>
    </cfRule>
    <cfRule type="cellIs" dxfId="1636" priority="461" operator="equal">
      <formula>"Media"</formula>
    </cfRule>
    <cfRule type="cellIs" dxfId="1635" priority="462" operator="equal">
      <formula>"Baja"</formula>
    </cfRule>
    <cfRule type="cellIs" dxfId="1634" priority="463" operator="equal">
      <formula>"Muy Baja"</formula>
    </cfRule>
  </conditionalFormatting>
  <conditionalFormatting sqref="P132:P149">
    <cfRule type="containsText" dxfId="1633" priority="455" operator="containsText" text="Extremo">
      <formula>NOT(ISERROR(SEARCH("Extremo",P132)))</formula>
    </cfRule>
    <cfRule type="containsText" dxfId="1632" priority="456" operator="containsText" text="Alto">
      <formula>NOT(ISERROR(SEARCH("Alto",P132)))</formula>
    </cfRule>
    <cfRule type="containsText" dxfId="1631" priority="457" operator="containsText" text="Moderado">
      <formula>NOT(ISERROR(SEARCH("Moderado",P132)))</formula>
    </cfRule>
    <cfRule type="containsText" dxfId="1630" priority="458" operator="containsText" text="Bajo">
      <formula>NOT(ISERROR(SEARCH("Bajo",P132)))</formula>
    </cfRule>
  </conditionalFormatting>
  <conditionalFormatting sqref="AC132:AC149">
    <cfRule type="cellIs" dxfId="1629" priority="450" operator="equal">
      <formula>"Muy Alta"</formula>
    </cfRule>
    <cfRule type="cellIs" dxfId="1628" priority="451" operator="equal">
      <formula>"Alta"</formula>
    </cfRule>
    <cfRule type="cellIs" dxfId="1627" priority="452" operator="equal">
      <formula>"Media"</formula>
    </cfRule>
    <cfRule type="cellIs" dxfId="1626" priority="453" operator="equal">
      <formula>"Baja"</formula>
    </cfRule>
    <cfRule type="cellIs" dxfId="1625" priority="454" operator="equal">
      <formula>"Muy Baja"</formula>
    </cfRule>
  </conditionalFormatting>
  <conditionalFormatting sqref="K138:K149">
    <cfRule type="cellIs" dxfId="1624" priority="445" operator="equal">
      <formula>"Muy Alta"</formula>
    </cfRule>
    <cfRule type="cellIs" dxfId="1623" priority="446" operator="equal">
      <formula>"Alta"</formula>
    </cfRule>
    <cfRule type="cellIs" dxfId="1622" priority="447" operator="equal">
      <formula>"Media"</formula>
    </cfRule>
    <cfRule type="cellIs" dxfId="1621" priority="448" operator="equal">
      <formula>"Baja"</formula>
    </cfRule>
    <cfRule type="cellIs" dxfId="1620" priority="449" operator="equal">
      <formula>"Muy Baja"</formula>
    </cfRule>
  </conditionalFormatting>
  <conditionalFormatting sqref="N138:N149">
    <cfRule type="cellIs" dxfId="1619" priority="440" operator="equal">
      <formula>"Mayor"</formula>
    </cfRule>
    <cfRule type="cellIs" dxfId="1618" priority="441" operator="equal">
      <formula>"Moderado"</formula>
    </cfRule>
    <cfRule type="cellIs" dxfId="1617" priority="442" operator="equal">
      <formula>"Menor"</formula>
    </cfRule>
    <cfRule type="cellIs" dxfId="1616" priority="443" operator="equal">
      <formula>"Leve"</formula>
    </cfRule>
    <cfRule type="cellIs" dxfId="1615" priority="444" operator="equal">
      <formula>"Catastrófico"</formula>
    </cfRule>
  </conditionalFormatting>
  <conditionalFormatting sqref="AH132:AH149">
    <cfRule type="cellIs" dxfId="1614" priority="436" operator="equal">
      <formula>"Extremo"</formula>
    </cfRule>
    <cfRule type="cellIs" dxfId="1613" priority="437" operator="equal">
      <formula>"Alto"</formula>
    </cfRule>
    <cfRule type="cellIs" dxfId="1612" priority="438" operator="equal">
      <formula>"Moderado"</formula>
    </cfRule>
    <cfRule type="cellIs" dxfId="1611" priority="439" operator="equal">
      <formula>"Bajo"</formula>
    </cfRule>
  </conditionalFormatting>
  <conditionalFormatting sqref="AG132:AG149">
    <cfRule type="cellIs" dxfId="1610" priority="431" operator="equal">
      <formula>"Catastrófico"</formula>
    </cfRule>
    <cfRule type="cellIs" dxfId="1609" priority="432" operator="equal">
      <formula>"Mayor"</formula>
    </cfRule>
    <cfRule type="cellIs" dxfId="1608" priority="433" operator="equal">
      <formula>"Moderado"</formula>
    </cfRule>
    <cfRule type="cellIs" dxfId="1607" priority="434" operator="equal">
      <formula>"Menor"</formula>
    </cfRule>
    <cfRule type="cellIs" dxfId="1606" priority="435" operator="equal">
      <formula>"Leve"</formula>
    </cfRule>
  </conditionalFormatting>
  <conditionalFormatting sqref="N180:N185">
    <cfRule type="cellIs" dxfId="1605" priority="426" operator="equal">
      <formula>"Mayor"</formula>
    </cfRule>
    <cfRule type="cellIs" dxfId="1604" priority="427" operator="equal">
      <formula>"Moderado"</formula>
    </cfRule>
    <cfRule type="cellIs" dxfId="1603" priority="428" operator="equal">
      <formula>"Menor"</formula>
    </cfRule>
    <cfRule type="cellIs" dxfId="1602" priority="429" operator="equal">
      <formula>"Leve"</formula>
    </cfRule>
    <cfRule type="cellIs" dxfId="1601" priority="430" operator="equal">
      <formula>"Catastrófico"</formula>
    </cfRule>
  </conditionalFormatting>
  <conditionalFormatting sqref="K180:K185">
    <cfRule type="cellIs" dxfId="1600" priority="421" operator="equal">
      <formula>"Muy Alta"</formula>
    </cfRule>
    <cfRule type="cellIs" dxfId="1599" priority="422" operator="equal">
      <formula>"Alta"</formula>
    </cfRule>
    <cfRule type="cellIs" dxfId="1598" priority="423" operator="equal">
      <formula>"Media"</formula>
    </cfRule>
    <cfRule type="cellIs" dxfId="1597" priority="424" operator="equal">
      <formula>"Baja"</formula>
    </cfRule>
    <cfRule type="cellIs" dxfId="1596" priority="425" operator="equal">
      <formula>"Muy Baja"</formula>
    </cfRule>
  </conditionalFormatting>
  <conditionalFormatting sqref="P180:P197">
    <cfRule type="containsText" dxfId="1595" priority="417" operator="containsText" text="Extremo">
      <formula>NOT(ISERROR(SEARCH("Extremo",P180)))</formula>
    </cfRule>
    <cfRule type="containsText" dxfId="1594" priority="418" operator="containsText" text="Alto">
      <formula>NOT(ISERROR(SEARCH("Alto",P180)))</formula>
    </cfRule>
    <cfRule type="containsText" dxfId="1593" priority="419" operator="containsText" text="Moderado">
      <formula>NOT(ISERROR(SEARCH("Moderado",P180)))</formula>
    </cfRule>
    <cfRule type="containsText" dxfId="1592" priority="420" operator="containsText" text="Bajo">
      <formula>NOT(ISERROR(SEARCH("Bajo",P180)))</formula>
    </cfRule>
  </conditionalFormatting>
  <conditionalFormatting sqref="AC180:AC197">
    <cfRule type="cellIs" dxfId="1591" priority="412" operator="equal">
      <formula>"Muy Alta"</formula>
    </cfRule>
    <cfRule type="cellIs" dxfId="1590" priority="413" operator="equal">
      <formula>"Alta"</formula>
    </cfRule>
    <cfRule type="cellIs" dxfId="1589" priority="414" operator="equal">
      <formula>"Media"</formula>
    </cfRule>
    <cfRule type="cellIs" dxfId="1588" priority="415" operator="equal">
      <formula>"Baja"</formula>
    </cfRule>
    <cfRule type="cellIs" dxfId="1587" priority="416" operator="equal">
      <formula>"Muy Baja"</formula>
    </cfRule>
  </conditionalFormatting>
  <conditionalFormatting sqref="K186:K197">
    <cfRule type="cellIs" dxfId="1586" priority="407" operator="equal">
      <formula>"Muy Alta"</formula>
    </cfRule>
    <cfRule type="cellIs" dxfId="1585" priority="408" operator="equal">
      <formula>"Alta"</formula>
    </cfRule>
    <cfRule type="cellIs" dxfId="1584" priority="409" operator="equal">
      <formula>"Media"</formula>
    </cfRule>
    <cfRule type="cellIs" dxfId="1583" priority="410" operator="equal">
      <formula>"Baja"</formula>
    </cfRule>
    <cfRule type="cellIs" dxfId="1582" priority="411" operator="equal">
      <formula>"Muy Baja"</formula>
    </cfRule>
  </conditionalFormatting>
  <conditionalFormatting sqref="N186:N197">
    <cfRule type="cellIs" dxfId="1581" priority="402" operator="equal">
      <formula>"Mayor"</formula>
    </cfRule>
    <cfRule type="cellIs" dxfId="1580" priority="403" operator="equal">
      <formula>"Moderado"</formula>
    </cfRule>
    <cfRule type="cellIs" dxfId="1579" priority="404" operator="equal">
      <formula>"Menor"</formula>
    </cfRule>
    <cfRule type="cellIs" dxfId="1578" priority="405" operator="equal">
      <formula>"Leve"</formula>
    </cfRule>
    <cfRule type="cellIs" dxfId="1577" priority="406" operator="equal">
      <formula>"Catastrófico"</formula>
    </cfRule>
  </conditionalFormatting>
  <conditionalFormatting sqref="AH180:AH197">
    <cfRule type="cellIs" dxfId="1576" priority="398" operator="equal">
      <formula>"Extremo"</formula>
    </cfRule>
    <cfRule type="cellIs" dxfId="1575" priority="399" operator="equal">
      <formula>"Alto"</formula>
    </cfRule>
    <cfRule type="cellIs" dxfId="1574" priority="400" operator="equal">
      <formula>"Moderado"</formula>
    </cfRule>
    <cfRule type="cellIs" dxfId="1573" priority="401" operator="equal">
      <formula>"Bajo"</formula>
    </cfRule>
  </conditionalFormatting>
  <conditionalFormatting sqref="AG180:AG197">
    <cfRule type="cellIs" dxfId="1572" priority="393" operator="equal">
      <formula>"Catastrófico"</formula>
    </cfRule>
    <cfRule type="cellIs" dxfId="1571" priority="394" operator="equal">
      <formula>"Mayor"</formula>
    </cfRule>
    <cfRule type="cellIs" dxfId="1570" priority="395" operator="equal">
      <formula>"Moderado"</formula>
    </cfRule>
    <cfRule type="cellIs" dxfId="1569" priority="396" operator="equal">
      <formula>"Menor"</formula>
    </cfRule>
    <cfRule type="cellIs" dxfId="1568" priority="397" operator="equal">
      <formula>"Leve"</formula>
    </cfRule>
  </conditionalFormatting>
  <conditionalFormatting sqref="N210:N215">
    <cfRule type="cellIs" dxfId="1567" priority="388" operator="equal">
      <formula>"Mayor"</formula>
    </cfRule>
    <cfRule type="cellIs" dxfId="1566" priority="389" operator="equal">
      <formula>"Moderado"</formula>
    </cfRule>
    <cfRule type="cellIs" dxfId="1565" priority="390" operator="equal">
      <formula>"Menor"</formula>
    </cfRule>
    <cfRule type="cellIs" dxfId="1564" priority="391" operator="equal">
      <formula>"Leve"</formula>
    </cfRule>
    <cfRule type="cellIs" dxfId="1563" priority="392" operator="equal">
      <formula>"Catastrófico"</formula>
    </cfRule>
  </conditionalFormatting>
  <conditionalFormatting sqref="K210:K215">
    <cfRule type="cellIs" dxfId="1562" priority="383" operator="equal">
      <formula>"Muy Alta"</formula>
    </cfRule>
    <cfRule type="cellIs" dxfId="1561" priority="384" operator="equal">
      <formula>"Alta"</formula>
    </cfRule>
    <cfRule type="cellIs" dxfId="1560" priority="385" operator="equal">
      <formula>"Media"</formula>
    </cfRule>
    <cfRule type="cellIs" dxfId="1559" priority="386" operator="equal">
      <formula>"Baja"</formula>
    </cfRule>
    <cfRule type="cellIs" dxfId="1558" priority="387" operator="equal">
      <formula>"Muy Baja"</formula>
    </cfRule>
  </conditionalFormatting>
  <conditionalFormatting sqref="P210:P215">
    <cfRule type="containsText" dxfId="1557" priority="379" operator="containsText" text="Extremo">
      <formula>NOT(ISERROR(SEARCH("Extremo",P210)))</formula>
    </cfRule>
    <cfRule type="containsText" dxfId="1556" priority="380" operator="containsText" text="Alto">
      <formula>NOT(ISERROR(SEARCH("Alto",P210)))</formula>
    </cfRule>
    <cfRule type="containsText" dxfId="1555" priority="381" operator="containsText" text="Moderado">
      <formula>NOT(ISERROR(SEARCH("Moderado",P210)))</formula>
    </cfRule>
    <cfRule type="containsText" dxfId="1554" priority="382" operator="containsText" text="Bajo">
      <formula>NOT(ISERROR(SEARCH("Bajo",P210)))</formula>
    </cfRule>
  </conditionalFormatting>
  <conditionalFormatting sqref="P216:P221">
    <cfRule type="containsText" dxfId="1553" priority="375" operator="containsText" text="Extremo">
      <formula>NOT(ISERROR(SEARCH("Extremo",P216)))</formula>
    </cfRule>
    <cfRule type="containsText" dxfId="1552" priority="376" operator="containsText" text="Alto">
      <formula>NOT(ISERROR(SEARCH("Alto",P216)))</formula>
    </cfRule>
    <cfRule type="containsText" dxfId="1551" priority="377" operator="containsText" text="Moderado">
      <formula>NOT(ISERROR(SEARCH("Moderado",P216)))</formula>
    </cfRule>
    <cfRule type="containsText" dxfId="1550" priority="378" operator="containsText" text="Bajo">
      <formula>NOT(ISERROR(SEARCH("Bajo",P216)))</formula>
    </cfRule>
  </conditionalFormatting>
  <conditionalFormatting sqref="AC210:AC215">
    <cfRule type="cellIs" dxfId="1549" priority="370" operator="equal">
      <formula>"Muy Alta"</formula>
    </cfRule>
    <cfRule type="cellIs" dxfId="1548" priority="371" operator="equal">
      <formula>"Alta"</formula>
    </cfRule>
    <cfRule type="cellIs" dxfId="1547" priority="372" operator="equal">
      <formula>"Media"</formula>
    </cfRule>
    <cfRule type="cellIs" dxfId="1546" priority="373" operator="equal">
      <formula>"Baja"</formula>
    </cfRule>
    <cfRule type="cellIs" dxfId="1545" priority="374" operator="equal">
      <formula>"Muy Baja"</formula>
    </cfRule>
  </conditionalFormatting>
  <conditionalFormatting sqref="AC216:AC221">
    <cfRule type="cellIs" dxfId="1544" priority="365" operator="equal">
      <formula>"Muy Alta"</formula>
    </cfRule>
    <cfRule type="cellIs" dxfId="1543" priority="366" operator="equal">
      <formula>"Alta"</formula>
    </cfRule>
    <cfRule type="cellIs" dxfId="1542" priority="367" operator="equal">
      <formula>"Media"</formula>
    </cfRule>
    <cfRule type="cellIs" dxfId="1541" priority="368" operator="equal">
      <formula>"Baja"</formula>
    </cfRule>
    <cfRule type="cellIs" dxfId="1540" priority="369" operator="equal">
      <formula>"Muy Baja"</formula>
    </cfRule>
  </conditionalFormatting>
  <conditionalFormatting sqref="AG210:AG215">
    <cfRule type="cellIs" dxfId="1539" priority="360" operator="equal">
      <formula>"Catastrófico"</formula>
    </cfRule>
    <cfRule type="cellIs" dxfId="1538" priority="361" operator="equal">
      <formula>"Mayor"</formula>
    </cfRule>
    <cfRule type="cellIs" dxfId="1537" priority="362" operator="equal">
      <formula>"Moderado"</formula>
    </cfRule>
    <cfRule type="cellIs" dxfId="1536" priority="363" operator="equal">
      <formula>"Menor"</formula>
    </cfRule>
    <cfRule type="cellIs" dxfId="1535" priority="364" operator="equal">
      <formula>"Leve"</formula>
    </cfRule>
  </conditionalFormatting>
  <conditionalFormatting sqref="AG216:AG221">
    <cfRule type="cellIs" dxfId="1534" priority="355" operator="equal">
      <formula>"Catastrófico"</formula>
    </cfRule>
    <cfRule type="cellIs" dxfId="1533" priority="356" operator="equal">
      <formula>"Mayor"</formula>
    </cfRule>
    <cfRule type="cellIs" dxfId="1532" priority="357" operator="equal">
      <formula>"Moderado"</formula>
    </cfRule>
    <cfRule type="cellIs" dxfId="1531" priority="358" operator="equal">
      <formula>"Menor"</formula>
    </cfRule>
    <cfRule type="cellIs" dxfId="1530" priority="359" operator="equal">
      <formula>"Leve"</formula>
    </cfRule>
  </conditionalFormatting>
  <conditionalFormatting sqref="K216:K221">
    <cfRule type="cellIs" dxfId="1529" priority="350" operator="equal">
      <formula>"Muy Alta"</formula>
    </cfRule>
    <cfRule type="cellIs" dxfId="1528" priority="351" operator="equal">
      <formula>"Alta"</formula>
    </cfRule>
    <cfRule type="cellIs" dxfId="1527" priority="352" operator="equal">
      <formula>"Media"</formula>
    </cfRule>
    <cfRule type="cellIs" dxfId="1526" priority="353" operator="equal">
      <formula>"Baja"</formula>
    </cfRule>
    <cfRule type="cellIs" dxfId="1525" priority="354" operator="equal">
      <formula>"Muy Baja"</formula>
    </cfRule>
  </conditionalFormatting>
  <conditionalFormatting sqref="N216:N221">
    <cfRule type="cellIs" dxfId="1524" priority="345" operator="equal">
      <formula>"Mayor"</formula>
    </cfRule>
    <cfRule type="cellIs" dxfId="1523" priority="346" operator="equal">
      <formula>"Moderado"</formula>
    </cfRule>
    <cfRule type="cellIs" dxfId="1522" priority="347" operator="equal">
      <formula>"Menor"</formula>
    </cfRule>
    <cfRule type="cellIs" dxfId="1521" priority="348" operator="equal">
      <formula>"Leve"</formula>
    </cfRule>
    <cfRule type="cellIs" dxfId="1520" priority="349" operator="equal">
      <formula>"Catastrófico"</formula>
    </cfRule>
  </conditionalFormatting>
  <conditionalFormatting sqref="AH210:AH215">
    <cfRule type="cellIs" dxfId="1519" priority="341" operator="equal">
      <formula>"Extremo"</formula>
    </cfRule>
    <cfRule type="cellIs" dxfId="1518" priority="342" operator="equal">
      <formula>"Alto"</formula>
    </cfRule>
    <cfRule type="cellIs" dxfId="1517" priority="343" operator="equal">
      <formula>"Moderado"</formula>
    </cfRule>
    <cfRule type="cellIs" dxfId="1516" priority="344" operator="equal">
      <formula>"Bajo"</formula>
    </cfRule>
  </conditionalFormatting>
  <conditionalFormatting sqref="AH216:AH221">
    <cfRule type="cellIs" dxfId="1515" priority="337" operator="equal">
      <formula>"Extremo"</formula>
    </cfRule>
    <cfRule type="cellIs" dxfId="1514" priority="338" operator="equal">
      <formula>"Alto"</formula>
    </cfRule>
    <cfRule type="cellIs" dxfId="1513" priority="339" operator="equal">
      <formula>"Moderado"</formula>
    </cfRule>
    <cfRule type="cellIs" dxfId="1512" priority="340" operator="equal">
      <formula>"Bajo"</formula>
    </cfRule>
  </conditionalFormatting>
  <conditionalFormatting sqref="P462:P467">
    <cfRule type="containsText" dxfId="1511" priority="333" operator="containsText" text="Extremo">
      <formula>NOT(ISERROR(SEARCH("Extremo",P462)))</formula>
    </cfRule>
    <cfRule type="containsText" dxfId="1510" priority="334" operator="containsText" text="Alto">
      <formula>NOT(ISERROR(SEARCH("Alto",P462)))</formula>
    </cfRule>
    <cfRule type="containsText" dxfId="1509" priority="335" operator="containsText" text="Moderado">
      <formula>NOT(ISERROR(SEARCH("Moderado",P462)))</formula>
    </cfRule>
    <cfRule type="containsText" dxfId="1508" priority="336" operator="containsText" text="Bajo">
      <formula>NOT(ISERROR(SEARCH("Bajo",P462)))</formula>
    </cfRule>
  </conditionalFormatting>
  <conditionalFormatting sqref="AC462:AC467">
    <cfRule type="cellIs" dxfId="1507" priority="328" operator="equal">
      <formula>"Muy Alta"</formula>
    </cfRule>
    <cfRule type="cellIs" dxfId="1506" priority="329" operator="equal">
      <formula>"Alta"</formula>
    </cfRule>
    <cfRule type="cellIs" dxfId="1505" priority="330" operator="equal">
      <formula>"Media"</formula>
    </cfRule>
    <cfRule type="cellIs" dxfId="1504" priority="331" operator="equal">
      <formula>"Baja"</formula>
    </cfRule>
    <cfRule type="cellIs" dxfId="1503" priority="332" operator="equal">
      <formula>"Muy Baja"</formula>
    </cfRule>
  </conditionalFormatting>
  <conditionalFormatting sqref="K462:K467">
    <cfRule type="cellIs" dxfId="1502" priority="323" operator="equal">
      <formula>"Muy Alta"</formula>
    </cfRule>
    <cfRule type="cellIs" dxfId="1501" priority="324" operator="equal">
      <formula>"Alta"</formula>
    </cfRule>
    <cfRule type="cellIs" dxfId="1500" priority="325" operator="equal">
      <formula>"Media"</formula>
    </cfRule>
    <cfRule type="cellIs" dxfId="1499" priority="326" operator="equal">
      <formula>"Baja"</formula>
    </cfRule>
    <cfRule type="cellIs" dxfId="1498" priority="327" operator="equal">
      <formula>"Muy Baja"</formula>
    </cfRule>
  </conditionalFormatting>
  <conditionalFormatting sqref="N462:N467">
    <cfRule type="cellIs" dxfId="1497" priority="318" operator="equal">
      <formula>"Mayor"</formula>
    </cfRule>
    <cfRule type="cellIs" dxfId="1496" priority="319" operator="equal">
      <formula>"Moderado"</formula>
    </cfRule>
    <cfRule type="cellIs" dxfId="1495" priority="320" operator="equal">
      <formula>"Menor"</formula>
    </cfRule>
    <cfRule type="cellIs" dxfId="1494" priority="321" operator="equal">
      <formula>"Leve"</formula>
    </cfRule>
    <cfRule type="cellIs" dxfId="1493" priority="322" operator="equal">
      <formula>"Catastrófico"</formula>
    </cfRule>
  </conditionalFormatting>
  <conditionalFormatting sqref="AH462:AH467">
    <cfRule type="cellIs" dxfId="1492" priority="314" operator="equal">
      <formula>"Extremo"</formula>
    </cfRule>
    <cfRule type="cellIs" dxfId="1491" priority="315" operator="equal">
      <formula>"Alto"</formula>
    </cfRule>
    <cfRule type="cellIs" dxfId="1490" priority="316" operator="equal">
      <formula>"Moderado"</formula>
    </cfRule>
    <cfRule type="cellIs" dxfId="1489" priority="317" operator="equal">
      <formula>"Bajo"</formula>
    </cfRule>
  </conditionalFormatting>
  <conditionalFormatting sqref="AG462:AG467">
    <cfRule type="cellIs" dxfId="1488" priority="309" operator="equal">
      <formula>"Catastrófico"</formula>
    </cfRule>
    <cfRule type="cellIs" dxfId="1487" priority="310" operator="equal">
      <formula>"Mayor"</formula>
    </cfRule>
    <cfRule type="cellIs" dxfId="1486" priority="311" operator="equal">
      <formula>"Moderado"</formula>
    </cfRule>
    <cfRule type="cellIs" dxfId="1485" priority="312" operator="equal">
      <formula>"Menor"</formula>
    </cfRule>
    <cfRule type="cellIs" dxfId="1484" priority="313" operator="equal">
      <formula>"Leve"</formula>
    </cfRule>
  </conditionalFormatting>
  <conditionalFormatting sqref="N270:N287">
    <cfRule type="cellIs" dxfId="1483" priority="304" operator="equal">
      <formula>"Mayor"</formula>
    </cfRule>
    <cfRule type="cellIs" dxfId="1482" priority="305" operator="equal">
      <formula>"Moderado"</formula>
    </cfRule>
    <cfRule type="cellIs" dxfId="1481" priority="306" operator="equal">
      <formula>"Menor"</formula>
    </cfRule>
    <cfRule type="cellIs" dxfId="1480" priority="307" operator="equal">
      <formula>"Leve"</formula>
    </cfRule>
    <cfRule type="cellIs" dxfId="1479" priority="308" operator="equal">
      <formula>"Catastrófico"</formula>
    </cfRule>
  </conditionalFormatting>
  <conditionalFormatting sqref="AC270:AC287 K270:K287">
    <cfRule type="cellIs" dxfId="1478" priority="299" operator="equal">
      <formula>"Muy Alta"</formula>
    </cfRule>
    <cfRule type="cellIs" dxfId="1477" priority="300" operator="equal">
      <formula>"Alta"</formula>
    </cfRule>
    <cfRule type="cellIs" dxfId="1476" priority="301" operator="equal">
      <formula>"Media"</formula>
    </cfRule>
    <cfRule type="cellIs" dxfId="1475" priority="302" operator="equal">
      <formula>"Baja"</formula>
    </cfRule>
    <cfRule type="cellIs" dxfId="1474" priority="303" operator="equal">
      <formula>"Muy Baja"</formula>
    </cfRule>
  </conditionalFormatting>
  <conditionalFormatting sqref="P270:P287">
    <cfRule type="containsText" dxfId="1473" priority="295" operator="containsText" text="Extremo">
      <formula>NOT(ISERROR(SEARCH("Extremo",P270)))</formula>
    </cfRule>
    <cfRule type="containsText" dxfId="1472" priority="296" operator="containsText" text="Alto">
      <formula>NOT(ISERROR(SEARCH("Alto",P270)))</formula>
    </cfRule>
    <cfRule type="containsText" dxfId="1471" priority="297" operator="containsText" text="Moderado">
      <formula>NOT(ISERROR(SEARCH("Moderado",P270)))</formula>
    </cfRule>
    <cfRule type="containsText" dxfId="1470" priority="298" operator="containsText" text="Bajo">
      <formula>NOT(ISERROR(SEARCH("Bajo",P270)))</formula>
    </cfRule>
  </conditionalFormatting>
  <conditionalFormatting sqref="AH270:AH287">
    <cfRule type="cellIs" dxfId="1469" priority="291" operator="equal">
      <formula>"Extremo"</formula>
    </cfRule>
    <cfRule type="cellIs" dxfId="1468" priority="292" operator="equal">
      <formula>"Alto"</formula>
    </cfRule>
    <cfRule type="cellIs" dxfId="1467" priority="293" operator="equal">
      <formula>"Moderado"</formula>
    </cfRule>
    <cfRule type="cellIs" dxfId="1466" priority="294" operator="equal">
      <formula>"Bajo"</formula>
    </cfRule>
  </conditionalFormatting>
  <conditionalFormatting sqref="AG270:AG287">
    <cfRule type="cellIs" dxfId="1465" priority="286" operator="equal">
      <formula>"Catastrófico"</formula>
    </cfRule>
    <cfRule type="cellIs" dxfId="1464" priority="287" operator="equal">
      <formula>"Mayor"</formula>
    </cfRule>
    <cfRule type="cellIs" dxfId="1463" priority="288" operator="equal">
      <formula>"Moderado"</formula>
    </cfRule>
    <cfRule type="cellIs" dxfId="1462" priority="289" operator="equal">
      <formula>"Menor"</formula>
    </cfRule>
    <cfRule type="cellIs" dxfId="1461" priority="290" operator="equal">
      <formula>"Leve"</formula>
    </cfRule>
  </conditionalFormatting>
  <conditionalFormatting sqref="N438:N443">
    <cfRule type="cellIs" dxfId="1460" priority="281" operator="equal">
      <formula>"Mayor"</formula>
    </cfRule>
    <cfRule type="cellIs" dxfId="1459" priority="282" operator="equal">
      <formula>"Moderado"</formula>
    </cfRule>
    <cfRule type="cellIs" dxfId="1458" priority="283" operator="equal">
      <formula>"Menor"</formula>
    </cfRule>
    <cfRule type="cellIs" dxfId="1457" priority="284" operator="equal">
      <formula>"Leve"</formula>
    </cfRule>
    <cfRule type="cellIs" dxfId="1456" priority="285" operator="equal">
      <formula>"Catastrófico"</formula>
    </cfRule>
  </conditionalFormatting>
  <conditionalFormatting sqref="AC438:AC443 K438:K443">
    <cfRule type="cellIs" dxfId="1455" priority="276" operator="equal">
      <formula>"Muy Alta"</formula>
    </cfRule>
    <cfRule type="cellIs" dxfId="1454" priority="277" operator="equal">
      <formula>"Alta"</formula>
    </cfRule>
    <cfRule type="cellIs" dxfId="1453" priority="278" operator="equal">
      <formula>"Media"</formula>
    </cfRule>
    <cfRule type="cellIs" dxfId="1452" priority="279" operator="equal">
      <formula>"Baja"</formula>
    </cfRule>
    <cfRule type="cellIs" dxfId="1451" priority="280" operator="equal">
      <formula>"Muy Baja"</formula>
    </cfRule>
  </conditionalFormatting>
  <conditionalFormatting sqref="P438:P443">
    <cfRule type="containsText" dxfId="1450" priority="272" operator="containsText" text="Extremo">
      <formula>NOT(ISERROR(SEARCH("Extremo",P438)))</formula>
    </cfRule>
    <cfRule type="containsText" dxfId="1449" priority="273" operator="containsText" text="Alto">
      <formula>NOT(ISERROR(SEARCH("Alto",P438)))</formula>
    </cfRule>
    <cfRule type="containsText" dxfId="1448" priority="274" operator="containsText" text="Moderado">
      <formula>NOT(ISERROR(SEARCH("Moderado",P438)))</formula>
    </cfRule>
    <cfRule type="containsText" dxfId="1447" priority="275" operator="containsText" text="Bajo">
      <formula>NOT(ISERROR(SEARCH("Bajo",P438)))</formula>
    </cfRule>
  </conditionalFormatting>
  <conditionalFormatting sqref="AH438:AH443">
    <cfRule type="cellIs" dxfId="1446" priority="268" operator="equal">
      <formula>"Extremo"</formula>
    </cfRule>
    <cfRule type="cellIs" dxfId="1445" priority="269" operator="equal">
      <formula>"Alto"</formula>
    </cfRule>
    <cfRule type="cellIs" dxfId="1444" priority="270" operator="equal">
      <formula>"Moderado"</formula>
    </cfRule>
    <cfRule type="cellIs" dxfId="1443" priority="271" operator="equal">
      <formula>"Bajo"</formula>
    </cfRule>
  </conditionalFormatting>
  <conditionalFormatting sqref="AG438:AG443">
    <cfRule type="cellIs" dxfId="1442" priority="263" operator="equal">
      <formula>"Catastrófico"</formula>
    </cfRule>
    <cfRule type="cellIs" dxfId="1441" priority="264" operator="equal">
      <formula>"Mayor"</formula>
    </cfRule>
    <cfRule type="cellIs" dxfId="1440" priority="265" operator="equal">
      <formula>"Moderado"</formula>
    </cfRule>
    <cfRule type="cellIs" dxfId="1439" priority="266" operator="equal">
      <formula>"Menor"</formula>
    </cfRule>
    <cfRule type="cellIs" dxfId="1438" priority="267" operator="equal">
      <formula>"Leve"</formula>
    </cfRule>
  </conditionalFormatting>
  <conditionalFormatting sqref="P468:P473">
    <cfRule type="containsText" dxfId="1437" priority="259" operator="containsText" text="Extremo">
      <formula>NOT(ISERROR(SEARCH("Extremo",P468)))</formula>
    </cfRule>
    <cfRule type="containsText" dxfId="1436" priority="260" operator="containsText" text="Alto">
      <formula>NOT(ISERROR(SEARCH("Alto",P468)))</formula>
    </cfRule>
    <cfRule type="containsText" dxfId="1435" priority="261" operator="containsText" text="Moderado">
      <formula>NOT(ISERROR(SEARCH("Moderado",P468)))</formula>
    </cfRule>
    <cfRule type="containsText" dxfId="1434" priority="262" operator="containsText" text="Bajo">
      <formula>NOT(ISERROR(SEARCH("Bajo",P468)))</formula>
    </cfRule>
  </conditionalFormatting>
  <conditionalFormatting sqref="AC468:AC473">
    <cfRule type="cellIs" dxfId="1433" priority="254" operator="equal">
      <formula>"Muy Alta"</formula>
    </cfRule>
    <cfRule type="cellIs" dxfId="1432" priority="255" operator="equal">
      <formula>"Alta"</formula>
    </cfRule>
    <cfRule type="cellIs" dxfId="1431" priority="256" operator="equal">
      <formula>"Media"</formula>
    </cfRule>
    <cfRule type="cellIs" dxfId="1430" priority="257" operator="equal">
      <formula>"Baja"</formula>
    </cfRule>
    <cfRule type="cellIs" dxfId="1429" priority="258" operator="equal">
      <formula>"Muy Baja"</formula>
    </cfRule>
  </conditionalFormatting>
  <conditionalFormatting sqref="K468:K473">
    <cfRule type="cellIs" dxfId="1428" priority="249" operator="equal">
      <formula>"Muy Alta"</formula>
    </cfRule>
    <cfRule type="cellIs" dxfId="1427" priority="250" operator="equal">
      <formula>"Alta"</formula>
    </cfRule>
    <cfRule type="cellIs" dxfId="1426" priority="251" operator="equal">
      <formula>"Media"</formula>
    </cfRule>
    <cfRule type="cellIs" dxfId="1425" priority="252" operator="equal">
      <formula>"Baja"</formula>
    </cfRule>
    <cfRule type="cellIs" dxfId="1424" priority="253" operator="equal">
      <formula>"Muy Baja"</formula>
    </cfRule>
  </conditionalFormatting>
  <conditionalFormatting sqref="N468:N473">
    <cfRule type="cellIs" dxfId="1423" priority="244" operator="equal">
      <formula>"Mayor"</formula>
    </cfRule>
    <cfRule type="cellIs" dxfId="1422" priority="245" operator="equal">
      <formula>"Moderado"</formula>
    </cfRule>
    <cfRule type="cellIs" dxfId="1421" priority="246" operator="equal">
      <formula>"Menor"</formula>
    </cfRule>
    <cfRule type="cellIs" dxfId="1420" priority="247" operator="equal">
      <formula>"Leve"</formula>
    </cfRule>
    <cfRule type="cellIs" dxfId="1419" priority="248" operator="equal">
      <formula>"Catastrófico"</formula>
    </cfRule>
  </conditionalFormatting>
  <conditionalFormatting sqref="AH468:AH473">
    <cfRule type="cellIs" dxfId="1418" priority="240" operator="equal">
      <formula>"Extremo"</formula>
    </cfRule>
    <cfRule type="cellIs" dxfId="1417" priority="241" operator="equal">
      <formula>"Alto"</formula>
    </cfRule>
    <cfRule type="cellIs" dxfId="1416" priority="242" operator="equal">
      <formula>"Moderado"</formula>
    </cfRule>
    <cfRule type="cellIs" dxfId="1415" priority="243" operator="equal">
      <formula>"Bajo"</formula>
    </cfRule>
  </conditionalFormatting>
  <conditionalFormatting sqref="AG468:AG473">
    <cfRule type="cellIs" dxfId="1414" priority="235" operator="equal">
      <formula>"Catastrófico"</formula>
    </cfRule>
    <cfRule type="cellIs" dxfId="1413" priority="236" operator="equal">
      <formula>"Mayor"</formula>
    </cfRule>
    <cfRule type="cellIs" dxfId="1412" priority="237" operator="equal">
      <formula>"Moderado"</formula>
    </cfRule>
    <cfRule type="cellIs" dxfId="1411" priority="238" operator="equal">
      <formula>"Menor"</formula>
    </cfRule>
    <cfRule type="cellIs" dxfId="1410" priority="239" operator="equal">
      <formula>"Leve"</formula>
    </cfRule>
  </conditionalFormatting>
  <conditionalFormatting sqref="AC474:AC479">
    <cfRule type="cellIs" dxfId="1409" priority="230" operator="equal">
      <formula>"Muy Alta"</formula>
    </cfRule>
    <cfRule type="cellIs" dxfId="1408" priority="231" operator="equal">
      <formula>"Alta"</formula>
    </cfRule>
    <cfRule type="cellIs" dxfId="1407" priority="232" operator="equal">
      <formula>"Media"</formula>
    </cfRule>
    <cfRule type="cellIs" dxfId="1406" priority="233" operator="equal">
      <formula>"Baja"</formula>
    </cfRule>
    <cfRule type="cellIs" dxfId="1405" priority="234" operator="equal">
      <formula>"Muy Baja"</formula>
    </cfRule>
  </conditionalFormatting>
  <conditionalFormatting sqref="AH474:AH479">
    <cfRule type="cellIs" dxfId="1404" priority="226" operator="equal">
      <formula>"Extremo"</formula>
    </cfRule>
    <cfRule type="cellIs" dxfId="1403" priority="227" operator="equal">
      <formula>"Alto"</formula>
    </cfRule>
    <cfRule type="cellIs" dxfId="1402" priority="228" operator="equal">
      <formula>"Moderado"</formula>
    </cfRule>
    <cfRule type="cellIs" dxfId="1401" priority="229" operator="equal">
      <formula>"Bajo"</formula>
    </cfRule>
  </conditionalFormatting>
  <conditionalFormatting sqref="AG474:AG479">
    <cfRule type="cellIs" dxfId="1400" priority="221" operator="equal">
      <formula>"Catastrófico"</formula>
    </cfRule>
    <cfRule type="cellIs" dxfId="1399" priority="222" operator="equal">
      <formula>"Mayor"</formula>
    </cfRule>
    <cfRule type="cellIs" dxfId="1398" priority="223" operator="equal">
      <formula>"Moderado"</formula>
    </cfRule>
    <cfRule type="cellIs" dxfId="1397" priority="224" operator="equal">
      <formula>"Menor"</formula>
    </cfRule>
    <cfRule type="cellIs" dxfId="1396" priority="225" operator="equal">
      <formula>"Leve"</formula>
    </cfRule>
  </conditionalFormatting>
  <conditionalFormatting sqref="P474:P479">
    <cfRule type="containsText" dxfId="1395" priority="217" operator="containsText" text="Extremo">
      <formula>NOT(ISERROR(SEARCH("Extremo",P474)))</formula>
    </cfRule>
    <cfRule type="containsText" dxfId="1394" priority="218" operator="containsText" text="Alto">
      <formula>NOT(ISERROR(SEARCH("Alto",P474)))</formula>
    </cfRule>
    <cfRule type="containsText" dxfId="1393" priority="219" operator="containsText" text="Moderado">
      <formula>NOT(ISERROR(SEARCH("Moderado",P474)))</formula>
    </cfRule>
    <cfRule type="containsText" dxfId="1392" priority="220" operator="containsText" text="Bajo">
      <formula>NOT(ISERROR(SEARCH("Bajo",P474)))</formula>
    </cfRule>
  </conditionalFormatting>
  <conditionalFormatting sqref="K474:K479">
    <cfRule type="cellIs" dxfId="1391" priority="212" operator="equal">
      <formula>"Muy Alta"</formula>
    </cfRule>
    <cfRule type="cellIs" dxfId="1390" priority="213" operator="equal">
      <formula>"Alta"</formula>
    </cfRule>
    <cfRule type="cellIs" dxfId="1389" priority="214" operator="equal">
      <formula>"Media"</formula>
    </cfRule>
    <cfRule type="cellIs" dxfId="1388" priority="215" operator="equal">
      <formula>"Baja"</formula>
    </cfRule>
    <cfRule type="cellIs" dxfId="1387" priority="216" operator="equal">
      <formula>"Muy Baja"</formula>
    </cfRule>
  </conditionalFormatting>
  <conditionalFormatting sqref="N474:N479">
    <cfRule type="cellIs" dxfId="1386" priority="207" operator="equal">
      <formula>"Mayor"</formula>
    </cfRule>
    <cfRule type="cellIs" dxfId="1385" priority="208" operator="equal">
      <formula>"Moderado"</formula>
    </cfRule>
    <cfRule type="cellIs" dxfId="1384" priority="209" operator="equal">
      <formula>"Menor"</formula>
    </cfRule>
    <cfRule type="cellIs" dxfId="1383" priority="210" operator="equal">
      <formula>"Leve"</formula>
    </cfRule>
    <cfRule type="cellIs" dxfId="1382" priority="211" operator="equal">
      <formula>"Catastrófico"</formula>
    </cfRule>
  </conditionalFormatting>
  <conditionalFormatting sqref="N288:N293">
    <cfRule type="cellIs" dxfId="1381" priority="202" operator="equal">
      <formula>"Mayor"</formula>
    </cfRule>
    <cfRule type="cellIs" dxfId="1380" priority="203" operator="equal">
      <formula>"Moderado"</formula>
    </cfRule>
    <cfRule type="cellIs" dxfId="1379" priority="204" operator="equal">
      <formula>"Menor"</formula>
    </cfRule>
    <cfRule type="cellIs" dxfId="1378" priority="205" operator="equal">
      <formula>"Leve"</formula>
    </cfRule>
    <cfRule type="cellIs" dxfId="1377" priority="206" operator="equal">
      <formula>"Catastrófico"</formula>
    </cfRule>
  </conditionalFormatting>
  <conditionalFormatting sqref="K288:K293">
    <cfRule type="cellIs" dxfId="1376" priority="197" operator="equal">
      <formula>"Muy Alta"</formula>
    </cfRule>
    <cfRule type="cellIs" dxfId="1375" priority="198" operator="equal">
      <formula>"Alta"</formula>
    </cfRule>
    <cfRule type="cellIs" dxfId="1374" priority="199" operator="equal">
      <formula>"Media"</formula>
    </cfRule>
    <cfRule type="cellIs" dxfId="1373" priority="200" operator="equal">
      <formula>"Baja"</formula>
    </cfRule>
    <cfRule type="cellIs" dxfId="1372" priority="201" operator="equal">
      <formula>"Muy Baja"</formula>
    </cfRule>
  </conditionalFormatting>
  <conditionalFormatting sqref="P288:P293">
    <cfRule type="containsText" dxfId="1371" priority="193" operator="containsText" text="Extremo">
      <formula>NOT(ISERROR(SEARCH("Extremo",P288)))</formula>
    </cfRule>
    <cfRule type="containsText" dxfId="1370" priority="194" operator="containsText" text="Alto">
      <formula>NOT(ISERROR(SEARCH("Alto",P288)))</formula>
    </cfRule>
    <cfRule type="containsText" dxfId="1369" priority="195" operator="containsText" text="Moderado">
      <formula>NOT(ISERROR(SEARCH("Moderado",P288)))</formula>
    </cfRule>
    <cfRule type="containsText" dxfId="1368" priority="196" operator="containsText" text="Bajo">
      <formula>NOT(ISERROR(SEARCH("Bajo",P288)))</formula>
    </cfRule>
  </conditionalFormatting>
  <conditionalFormatting sqref="P294:P317">
    <cfRule type="containsText" dxfId="1367" priority="189" operator="containsText" text="Extremo">
      <formula>NOT(ISERROR(SEARCH("Extremo",P294)))</formula>
    </cfRule>
    <cfRule type="containsText" dxfId="1366" priority="190" operator="containsText" text="Alto">
      <formula>NOT(ISERROR(SEARCH("Alto",P294)))</formula>
    </cfRule>
    <cfRule type="containsText" dxfId="1365" priority="191" operator="containsText" text="Moderado">
      <formula>NOT(ISERROR(SEARCH("Moderado",P294)))</formula>
    </cfRule>
    <cfRule type="containsText" dxfId="1364" priority="192" operator="containsText" text="Bajo">
      <formula>NOT(ISERROR(SEARCH("Bajo",P294)))</formula>
    </cfRule>
  </conditionalFormatting>
  <conditionalFormatting sqref="AC288:AC293">
    <cfRule type="cellIs" dxfId="1363" priority="184" operator="equal">
      <formula>"Muy Alta"</formula>
    </cfRule>
    <cfRule type="cellIs" dxfId="1362" priority="185" operator="equal">
      <formula>"Alta"</formula>
    </cfRule>
    <cfRule type="cellIs" dxfId="1361" priority="186" operator="equal">
      <formula>"Media"</formula>
    </cfRule>
    <cfRule type="cellIs" dxfId="1360" priority="187" operator="equal">
      <formula>"Baja"</formula>
    </cfRule>
    <cfRule type="cellIs" dxfId="1359" priority="188" operator="equal">
      <formula>"Muy Baja"</formula>
    </cfRule>
  </conditionalFormatting>
  <conditionalFormatting sqref="AC294:AC317">
    <cfRule type="cellIs" dxfId="1358" priority="179" operator="equal">
      <formula>"Muy Alta"</formula>
    </cfRule>
    <cfRule type="cellIs" dxfId="1357" priority="180" operator="equal">
      <formula>"Alta"</formula>
    </cfRule>
    <cfRule type="cellIs" dxfId="1356" priority="181" operator="equal">
      <formula>"Media"</formula>
    </cfRule>
    <cfRule type="cellIs" dxfId="1355" priority="182" operator="equal">
      <formula>"Baja"</formula>
    </cfRule>
    <cfRule type="cellIs" dxfId="1354" priority="183" operator="equal">
      <formula>"Muy Baja"</formula>
    </cfRule>
  </conditionalFormatting>
  <conditionalFormatting sqref="AG288:AG293">
    <cfRule type="cellIs" dxfId="1353" priority="174" operator="equal">
      <formula>"Catastrófico"</formula>
    </cfRule>
    <cfRule type="cellIs" dxfId="1352" priority="175" operator="equal">
      <formula>"Mayor"</formula>
    </cfRule>
    <cfRule type="cellIs" dxfId="1351" priority="176" operator="equal">
      <formula>"Moderado"</formula>
    </cfRule>
    <cfRule type="cellIs" dxfId="1350" priority="177" operator="equal">
      <formula>"Menor"</formula>
    </cfRule>
    <cfRule type="cellIs" dxfId="1349" priority="178" operator="equal">
      <formula>"Leve"</formula>
    </cfRule>
  </conditionalFormatting>
  <conditionalFormatting sqref="AG294:AG317">
    <cfRule type="cellIs" dxfId="1348" priority="169" operator="equal">
      <formula>"Catastrófico"</formula>
    </cfRule>
    <cfRule type="cellIs" dxfId="1347" priority="170" operator="equal">
      <formula>"Mayor"</formula>
    </cfRule>
    <cfRule type="cellIs" dxfId="1346" priority="171" operator="equal">
      <formula>"Moderado"</formula>
    </cfRule>
    <cfRule type="cellIs" dxfId="1345" priority="172" operator="equal">
      <formula>"Menor"</formula>
    </cfRule>
    <cfRule type="cellIs" dxfId="1344" priority="173" operator="equal">
      <formula>"Leve"</formula>
    </cfRule>
  </conditionalFormatting>
  <conditionalFormatting sqref="K294:K317">
    <cfRule type="cellIs" dxfId="1343" priority="164" operator="equal">
      <formula>"Muy Alta"</formula>
    </cfRule>
    <cfRule type="cellIs" dxfId="1342" priority="165" operator="equal">
      <formula>"Alta"</formula>
    </cfRule>
    <cfRule type="cellIs" dxfId="1341" priority="166" operator="equal">
      <formula>"Media"</formula>
    </cfRule>
    <cfRule type="cellIs" dxfId="1340" priority="167" operator="equal">
      <formula>"Baja"</formula>
    </cfRule>
    <cfRule type="cellIs" dxfId="1339" priority="168" operator="equal">
      <formula>"Muy Baja"</formula>
    </cfRule>
  </conditionalFormatting>
  <conditionalFormatting sqref="N294:N317">
    <cfRule type="cellIs" dxfId="1338" priority="159" operator="equal">
      <formula>"Mayor"</formula>
    </cfRule>
    <cfRule type="cellIs" dxfId="1337" priority="160" operator="equal">
      <formula>"Moderado"</formula>
    </cfRule>
    <cfRule type="cellIs" dxfId="1336" priority="161" operator="equal">
      <formula>"Menor"</formula>
    </cfRule>
    <cfRule type="cellIs" dxfId="1335" priority="162" operator="equal">
      <formula>"Leve"</formula>
    </cfRule>
    <cfRule type="cellIs" dxfId="1334" priority="163" operator="equal">
      <formula>"Catastrófico"</formula>
    </cfRule>
  </conditionalFormatting>
  <conditionalFormatting sqref="AH288:AH293">
    <cfRule type="cellIs" dxfId="1333" priority="155" operator="equal">
      <formula>"Extremo"</formula>
    </cfRule>
    <cfRule type="cellIs" dxfId="1332" priority="156" operator="equal">
      <formula>"Alto"</formula>
    </cfRule>
    <cfRule type="cellIs" dxfId="1331" priority="157" operator="equal">
      <formula>"Moderado"</formula>
    </cfRule>
    <cfRule type="cellIs" dxfId="1330" priority="158" operator="equal">
      <formula>"Bajo"</formula>
    </cfRule>
  </conditionalFormatting>
  <conditionalFormatting sqref="AH294:AH317">
    <cfRule type="cellIs" dxfId="1329" priority="151" operator="equal">
      <formula>"Extremo"</formula>
    </cfRule>
    <cfRule type="cellIs" dxfId="1328" priority="152" operator="equal">
      <formula>"Alto"</formula>
    </cfRule>
    <cfRule type="cellIs" dxfId="1327" priority="153" operator="equal">
      <formula>"Moderado"</formula>
    </cfRule>
    <cfRule type="cellIs" dxfId="1326" priority="154" operator="equal">
      <formula>"Bajo"</formula>
    </cfRule>
  </conditionalFormatting>
  <conditionalFormatting sqref="P318:P323">
    <cfRule type="containsText" dxfId="1325" priority="147" operator="containsText" text="Extremo">
      <formula>NOT(ISERROR(SEARCH("Extremo",P318)))</formula>
    </cfRule>
    <cfRule type="containsText" dxfId="1324" priority="148" operator="containsText" text="Alto">
      <formula>NOT(ISERROR(SEARCH("Alto",P318)))</formula>
    </cfRule>
    <cfRule type="containsText" dxfId="1323" priority="149" operator="containsText" text="Moderado">
      <formula>NOT(ISERROR(SEARCH("Moderado",P318)))</formula>
    </cfRule>
    <cfRule type="containsText" dxfId="1322" priority="150" operator="containsText" text="Bajo">
      <formula>NOT(ISERROR(SEARCH("Bajo",P318)))</formula>
    </cfRule>
  </conditionalFormatting>
  <conditionalFormatting sqref="AC318:AC323">
    <cfRule type="cellIs" dxfId="1321" priority="142" operator="equal">
      <formula>"Muy Alta"</formula>
    </cfRule>
    <cfRule type="cellIs" dxfId="1320" priority="143" operator="equal">
      <formula>"Alta"</formula>
    </cfRule>
    <cfRule type="cellIs" dxfId="1319" priority="144" operator="equal">
      <formula>"Media"</formula>
    </cfRule>
    <cfRule type="cellIs" dxfId="1318" priority="145" operator="equal">
      <formula>"Baja"</formula>
    </cfRule>
    <cfRule type="cellIs" dxfId="1317" priority="146" operator="equal">
      <formula>"Muy Baja"</formula>
    </cfRule>
  </conditionalFormatting>
  <conditionalFormatting sqref="AG318:AG323">
    <cfRule type="cellIs" dxfId="1316" priority="137" operator="equal">
      <formula>"Catastrófico"</formula>
    </cfRule>
    <cfRule type="cellIs" dxfId="1315" priority="138" operator="equal">
      <formula>"Mayor"</formula>
    </cfRule>
    <cfRule type="cellIs" dxfId="1314" priority="139" operator="equal">
      <formula>"Moderado"</formula>
    </cfRule>
    <cfRule type="cellIs" dxfId="1313" priority="140" operator="equal">
      <formula>"Menor"</formula>
    </cfRule>
    <cfRule type="cellIs" dxfId="1312" priority="141" operator="equal">
      <formula>"Leve"</formula>
    </cfRule>
  </conditionalFormatting>
  <conditionalFormatting sqref="K318:K323">
    <cfRule type="cellIs" dxfId="1311" priority="132" operator="equal">
      <formula>"Muy Alta"</formula>
    </cfRule>
    <cfRule type="cellIs" dxfId="1310" priority="133" operator="equal">
      <formula>"Alta"</formula>
    </cfRule>
    <cfRule type="cellIs" dxfId="1309" priority="134" operator="equal">
      <formula>"Media"</formula>
    </cfRule>
    <cfRule type="cellIs" dxfId="1308" priority="135" operator="equal">
      <formula>"Baja"</formula>
    </cfRule>
    <cfRule type="cellIs" dxfId="1307" priority="136" operator="equal">
      <formula>"Muy Baja"</formula>
    </cfRule>
  </conditionalFormatting>
  <conditionalFormatting sqref="N318:N323">
    <cfRule type="cellIs" dxfId="1306" priority="127" operator="equal">
      <formula>"Mayor"</formula>
    </cfRule>
    <cfRule type="cellIs" dxfId="1305" priority="128" operator="equal">
      <formula>"Moderado"</formula>
    </cfRule>
    <cfRule type="cellIs" dxfId="1304" priority="129" operator="equal">
      <formula>"Menor"</formula>
    </cfRule>
    <cfRule type="cellIs" dxfId="1303" priority="130" operator="equal">
      <formula>"Leve"</formula>
    </cfRule>
    <cfRule type="cellIs" dxfId="1302" priority="131" operator="equal">
      <formula>"Catastrófico"</formula>
    </cfRule>
  </conditionalFormatting>
  <conditionalFormatting sqref="AH318:AH323">
    <cfRule type="cellIs" dxfId="1301" priority="123" operator="equal">
      <formula>"Extremo"</formula>
    </cfRule>
    <cfRule type="cellIs" dxfId="1300" priority="124" operator="equal">
      <formula>"Alto"</formula>
    </cfRule>
    <cfRule type="cellIs" dxfId="1299" priority="125" operator="equal">
      <formula>"Moderado"</formula>
    </cfRule>
    <cfRule type="cellIs" dxfId="1298" priority="126" operator="equal">
      <formula>"Bajo"</formula>
    </cfRule>
  </conditionalFormatting>
  <conditionalFormatting sqref="P324:P329">
    <cfRule type="containsText" dxfId="1297" priority="119" operator="containsText" text="Extremo">
      <formula>NOT(ISERROR(SEARCH("Extremo",P324)))</formula>
    </cfRule>
    <cfRule type="containsText" dxfId="1296" priority="120" operator="containsText" text="Alto">
      <formula>NOT(ISERROR(SEARCH("Alto",P324)))</formula>
    </cfRule>
    <cfRule type="containsText" dxfId="1295" priority="121" operator="containsText" text="Moderado">
      <formula>NOT(ISERROR(SEARCH("Moderado",P324)))</formula>
    </cfRule>
    <cfRule type="containsText" dxfId="1294" priority="122" operator="containsText" text="Bajo">
      <formula>NOT(ISERROR(SEARCH("Bajo",P324)))</formula>
    </cfRule>
  </conditionalFormatting>
  <conditionalFormatting sqref="AC324:AC329">
    <cfRule type="cellIs" dxfId="1293" priority="114" operator="equal">
      <formula>"Muy Alta"</formula>
    </cfRule>
    <cfRule type="cellIs" dxfId="1292" priority="115" operator="equal">
      <formula>"Alta"</formula>
    </cfRule>
    <cfRule type="cellIs" dxfId="1291" priority="116" operator="equal">
      <formula>"Media"</formula>
    </cfRule>
    <cfRule type="cellIs" dxfId="1290" priority="117" operator="equal">
      <formula>"Baja"</formula>
    </cfRule>
    <cfRule type="cellIs" dxfId="1289" priority="118" operator="equal">
      <formula>"Muy Baja"</formula>
    </cfRule>
  </conditionalFormatting>
  <conditionalFormatting sqref="AG324:AG329">
    <cfRule type="cellIs" dxfId="1288" priority="109" operator="equal">
      <formula>"Catastrófico"</formula>
    </cfRule>
    <cfRule type="cellIs" dxfId="1287" priority="110" operator="equal">
      <formula>"Mayor"</formula>
    </cfRule>
    <cfRule type="cellIs" dxfId="1286" priority="111" operator="equal">
      <formula>"Moderado"</formula>
    </cfRule>
    <cfRule type="cellIs" dxfId="1285" priority="112" operator="equal">
      <formula>"Menor"</formula>
    </cfRule>
    <cfRule type="cellIs" dxfId="1284" priority="113" operator="equal">
      <formula>"Leve"</formula>
    </cfRule>
  </conditionalFormatting>
  <conditionalFormatting sqref="K324:K329">
    <cfRule type="cellIs" dxfId="1283" priority="104" operator="equal">
      <formula>"Muy Alta"</formula>
    </cfRule>
    <cfRule type="cellIs" dxfId="1282" priority="105" operator="equal">
      <formula>"Alta"</formula>
    </cfRule>
    <cfRule type="cellIs" dxfId="1281" priority="106" operator="equal">
      <formula>"Media"</formula>
    </cfRule>
    <cfRule type="cellIs" dxfId="1280" priority="107" operator="equal">
      <formula>"Baja"</formula>
    </cfRule>
    <cfRule type="cellIs" dxfId="1279" priority="108" operator="equal">
      <formula>"Muy Baja"</formula>
    </cfRule>
  </conditionalFormatting>
  <conditionalFormatting sqref="N324:N329">
    <cfRule type="cellIs" dxfId="1278" priority="99" operator="equal">
      <formula>"Mayor"</formula>
    </cfRule>
    <cfRule type="cellIs" dxfId="1277" priority="100" operator="equal">
      <formula>"Moderado"</formula>
    </cfRule>
    <cfRule type="cellIs" dxfId="1276" priority="101" operator="equal">
      <formula>"Menor"</formula>
    </cfRule>
    <cfRule type="cellIs" dxfId="1275" priority="102" operator="equal">
      <formula>"Leve"</formula>
    </cfRule>
    <cfRule type="cellIs" dxfId="1274" priority="103" operator="equal">
      <formula>"Catastrófico"</formula>
    </cfRule>
  </conditionalFormatting>
  <conditionalFormatting sqref="AH324:AH329">
    <cfRule type="cellIs" dxfId="1273" priority="95" operator="equal">
      <formula>"Extremo"</formula>
    </cfRule>
    <cfRule type="cellIs" dxfId="1272" priority="96" operator="equal">
      <formula>"Alto"</formula>
    </cfRule>
    <cfRule type="cellIs" dxfId="1271" priority="97" operator="equal">
      <formula>"Moderado"</formula>
    </cfRule>
    <cfRule type="cellIs" dxfId="1270" priority="98" operator="equal">
      <formula>"Bajo"</formula>
    </cfRule>
  </conditionalFormatting>
  <conditionalFormatting sqref="P330:P335">
    <cfRule type="containsText" dxfId="1269" priority="91" operator="containsText" text="Extremo">
      <formula>NOT(ISERROR(SEARCH("Extremo",P330)))</formula>
    </cfRule>
    <cfRule type="containsText" dxfId="1268" priority="92" operator="containsText" text="Alto">
      <formula>NOT(ISERROR(SEARCH("Alto",P330)))</formula>
    </cfRule>
    <cfRule type="containsText" dxfId="1267" priority="93" operator="containsText" text="Moderado">
      <formula>NOT(ISERROR(SEARCH("Moderado",P330)))</formula>
    </cfRule>
    <cfRule type="containsText" dxfId="1266" priority="94" operator="containsText" text="Bajo">
      <formula>NOT(ISERROR(SEARCH("Bajo",P330)))</formula>
    </cfRule>
  </conditionalFormatting>
  <conditionalFormatting sqref="AC330:AC335">
    <cfRule type="cellIs" dxfId="1265" priority="86" operator="equal">
      <formula>"Muy Alta"</formula>
    </cfRule>
    <cfRule type="cellIs" dxfId="1264" priority="87" operator="equal">
      <formula>"Alta"</formula>
    </cfRule>
    <cfRule type="cellIs" dxfId="1263" priority="88" operator="equal">
      <formula>"Media"</formula>
    </cfRule>
    <cfRule type="cellIs" dxfId="1262" priority="89" operator="equal">
      <formula>"Baja"</formula>
    </cfRule>
    <cfRule type="cellIs" dxfId="1261" priority="90" operator="equal">
      <formula>"Muy Baja"</formula>
    </cfRule>
  </conditionalFormatting>
  <conditionalFormatting sqref="AG330:AG335">
    <cfRule type="cellIs" dxfId="1260" priority="81" operator="equal">
      <formula>"Catastrófico"</formula>
    </cfRule>
    <cfRule type="cellIs" dxfId="1259" priority="82" operator="equal">
      <formula>"Mayor"</formula>
    </cfRule>
    <cfRule type="cellIs" dxfId="1258" priority="83" operator="equal">
      <formula>"Moderado"</formula>
    </cfRule>
    <cfRule type="cellIs" dxfId="1257" priority="84" operator="equal">
      <formula>"Menor"</formula>
    </cfRule>
    <cfRule type="cellIs" dxfId="1256" priority="85" operator="equal">
      <formula>"Leve"</formula>
    </cfRule>
  </conditionalFormatting>
  <conditionalFormatting sqref="K330:K335">
    <cfRule type="cellIs" dxfId="1255" priority="76" operator="equal">
      <formula>"Muy Alta"</formula>
    </cfRule>
    <cfRule type="cellIs" dxfId="1254" priority="77" operator="equal">
      <formula>"Alta"</formula>
    </cfRule>
    <cfRule type="cellIs" dxfId="1253" priority="78" operator="equal">
      <formula>"Media"</formula>
    </cfRule>
    <cfRule type="cellIs" dxfId="1252" priority="79" operator="equal">
      <formula>"Baja"</formula>
    </cfRule>
    <cfRule type="cellIs" dxfId="1251" priority="80" operator="equal">
      <formula>"Muy Baja"</formula>
    </cfRule>
  </conditionalFormatting>
  <conditionalFormatting sqref="N330:N335">
    <cfRule type="cellIs" dxfId="1250" priority="71" operator="equal">
      <formula>"Mayor"</formula>
    </cfRule>
    <cfRule type="cellIs" dxfId="1249" priority="72" operator="equal">
      <formula>"Moderado"</formula>
    </cfRule>
    <cfRule type="cellIs" dxfId="1248" priority="73" operator="equal">
      <formula>"Menor"</formula>
    </cfRule>
    <cfRule type="cellIs" dxfId="1247" priority="74" operator="equal">
      <formula>"Leve"</formula>
    </cfRule>
    <cfRule type="cellIs" dxfId="1246" priority="75" operator="equal">
      <formula>"Catastrófico"</formula>
    </cfRule>
  </conditionalFormatting>
  <conditionalFormatting sqref="AH330:AH335">
    <cfRule type="cellIs" dxfId="1245" priority="67" operator="equal">
      <formula>"Extremo"</formula>
    </cfRule>
    <cfRule type="cellIs" dxfId="1244" priority="68" operator="equal">
      <formula>"Alto"</formula>
    </cfRule>
    <cfRule type="cellIs" dxfId="1243" priority="69" operator="equal">
      <formula>"Moderado"</formula>
    </cfRule>
    <cfRule type="cellIs" dxfId="1242" priority="70" operator="equal">
      <formula>"Bajo"</formula>
    </cfRule>
  </conditionalFormatting>
  <conditionalFormatting sqref="P336:P341">
    <cfRule type="containsText" dxfId="1241" priority="63" operator="containsText" text="Extremo">
      <formula>NOT(ISERROR(SEARCH("Extremo",P336)))</formula>
    </cfRule>
    <cfRule type="containsText" dxfId="1240" priority="64" operator="containsText" text="Alto">
      <formula>NOT(ISERROR(SEARCH("Alto",P336)))</formula>
    </cfRule>
    <cfRule type="containsText" dxfId="1239" priority="65" operator="containsText" text="Moderado">
      <formula>NOT(ISERROR(SEARCH("Moderado",P336)))</formula>
    </cfRule>
    <cfRule type="containsText" dxfId="1238" priority="66" operator="containsText" text="Bajo">
      <formula>NOT(ISERROR(SEARCH("Bajo",P336)))</formula>
    </cfRule>
  </conditionalFormatting>
  <conditionalFormatting sqref="AC336:AC341">
    <cfRule type="cellIs" dxfId="1237" priority="58" operator="equal">
      <formula>"Muy Alta"</formula>
    </cfRule>
    <cfRule type="cellIs" dxfId="1236" priority="59" operator="equal">
      <formula>"Alta"</formula>
    </cfRule>
    <cfRule type="cellIs" dxfId="1235" priority="60" operator="equal">
      <formula>"Media"</formula>
    </cfRule>
    <cfRule type="cellIs" dxfId="1234" priority="61" operator="equal">
      <formula>"Baja"</formula>
    </cfRule>
    <cfRule type="cellIs" dxfId="1233" priority="62" operator="equal">
      <formula>"Muy Baja"</formula>
    </cfRule>
  </conditionalFormatting>
  <conditionalFormatting sqref="AG336:AG341">
    <cfRule type="cellIs" dxfId="1232" priority="53" operator="equal">
      <formula>"Catastrófico"</formula>
    </cfRule>
    <cfRule type="cellIs" dxfId="1231" priority="54" operator="equal">
      <formula>"Mayor"</formula>
    </cfRule>
    <cfRule type="cellIs" dxfId="1230" priority="55" operator="equal">
      <formula>"Moderado"</formula>
    </cfRule>
    <cfRule type="cellIs" dxfId="1229" priority="56" operator="equal">
      <formula>"Menor"</formula>
    </cfRule>
    <cfRule type="cellIs" dxfId="1228" priority="57" operator="equal">
      <formula>"Leve"</formula>
    </cfRule>
  </conditionalFormatting>
  <conditionalFormatting sqref="K336:K341">
    <cfRule type="cellIs" dxfId="1227" priority="48" operator="equal">
      <formula>"Muy Alta"</formula>
    </cfRule>
    <cfRule type="cellIs" dxfId="1226" priority="49" operator="equal">
      <formula>"Alta"</formula>
    </cfRule>
    <cfRule type="cellIs" dxfId="1225" priority="50" operator="equal">
      <formula>"Media"</formula>
    </cfRule>
    <cfRule type="cellIs" dxfId="1224" priority="51" operator="equal">
      <formula>"Baja"</formula>
    </cfRule>
    <cfRule type="cellIs" dxfId="1223" priority="52" operator="equal">
      <formula>"Muy Baja"</formula>
    </cfRule>
  </conditionalFormatting>
  <conditionalFormatting sqref="N336:N341">
    <cfRule type="cellIs" dxfId="1222" priority="43" operator="equal">
      <formula>"Mayor"</formula>
    </cfRule>
    <cfRule type="cellIs" dxfId="1221" priority="44" operator="equal">
      <formula>"Moderado"</formula>
    </cfRule>
    <cfRule type="cellIs" dxfId="1220" priority="45" operator="equal">
      <formula>"Menor"</formula>
    </cfRule>
    <cfRule type="cellIs" dxfId="1219" priority="46" operator="equal">
      <formula>"Leve"</formula>
    </cfRule>
    <cfRule type="cellIs" dxfId="1218" priority="47" operator="equal">
      <formula>"Catastrófico"</formula>
    </cfRule>
  </conditionalFormatting>
  <conditionalFormatting sqref="AH336:AH341">
    <cfRule type="cellIs" dxfId="1217" priority="39" operator="equal">
      <formula>"Extremo"</formula>
    </cfRule>
    <cfRule type="cellIs" dxfId="1216" priority="40" operator="equal">
      <formula>"Alto"</formula>
    </cfRule>
    <cfRule type="cellIs" dxfId="1215" priority="41" operator="equal">
      <formula>"Moderado"</formula>
    </cfRule>
    <cfRule type="cellIs" dxfId="1214" priority="42" operator="equal">
      <formula>"Bajo"</formula>
    </cfRule>
  </conditionalFormatting>
  <conditionalFormatting sqref="N342:N347">
    <cfRule type="cellIs" dxfId="1213" priority="34" operator="equal">
      <formula>"Mayor"</formula>
    </cfRule>
    <cfRule type="cellIs" dxfId="1212" priority="35" operator="equal">
      <formula>"Moderado"</formula>
    </cfRule>
    <cfRule type="cellIs" dxfId="1211" priority="36" operator="equal">
      <formula>"Menor"</formula>
    </cfRule>
    <cfRule type="cellIs" dxfId="1210" priority="37" operator="equal">
      <formula>"Leve"</formula>
    </cfRule>
    <cfRule type="cellIs" dxfId="1209" priority="38" operator="equal">
      <formula>"Catastrófico"</formula>
    </cfRule>
  </conditionalFormatting>
  <conditionalFormatting sqref="K342:K347">
    <cfRule type="cellIs" dxfId="1208" priority="29" operator="equal">
      <formula>"Muy Alta"</formula>
    </cfRule>
    <cfRule type="cellIs" dxfId="1207" priority="30" operator="equal">
      <formula>"Alta"</formula>
    </cfRule>
    <cfRule type="cellIs" dxfId="1206" priority="31" operator="equal">
      <formula>"Media"</formula>
    </cfRule>
    <cfRule type="cellIs" dxfId="1205" priority="32" operator="equal">
      <formula>"Baja"</formula>
    </cfRule>
    <cfRule type="cellIs" dxfId="1204" priority="33" operator="equal">
      <formula>"Muy Baja"</formula>
    </cfRule>
  </conditionalFormatting>
  <conditionalFormatting sqref="P342:P371">
    <cfRule type="containsText" dxfId="1203" priority="25" operator="containsText" text="Extremo">
      <formula>NOT(ISERROR(SEARCH("Extremo",P342)))</formula>
    </cfRule>
    <cfRule type="containsText" dxfId="1202" priority="26" operator="containsText" text="Alto">
      <formula>NOT(ISERROR(SEARCH("Alto",P342)))</formula>
    </cfRule>
    <cfRule type="containsText" dxfId="1201" priority="27" operator="containsText" text="Moderado">
      <formula>NOT(ISERROR(SEARCH("Moderado",P342)))</formula>
    </cfRule>
    <cfRule type="containsText" dxfId="1200" priority="28" operator="containsText" text="Bajo">
      <formula>NOT(ISERROR(SEARCH("Bajo",P342)))</formula>
    </cfRule>
  </conditionalFormatting>
  <conditionalFormatting sqref="AC342:AC371">
    <cfRule type="cellIs" dxfId="1199" priority="20" operator="equal">
      <formula>"Muy Alta"</formula>
    </cfRule>
    <cfRule type="cellIs" dxfId="1198" priority="21" operator="equal">
      <formula>"Alta"</formula>
    </cfRule>
    <cfRule type="cellIs" dxfId="1197" priority="22" operator="equal">
      <formula>"Media"</formula>
    </cfRule>
    <cfRule type="cellIs" dxfId="1196" priority="23" operator="equal">
      <formula>"Baja"</formula>
    </cfRule>
    <cfRule type="cellIs" dxfId="1195" priority="24" operator="equal">
      <formula>"Muy Baja"</formula>
    </cfRule>
  </conditionalFormatting>
  <conditionalFormatting sqref="K348:K371">
    <cfRule type="cellIs" dxfId="1194" priority="15" operator="equal">
      <formula>"Muy Alta"</formula>
    </cfRule>
    <cfRule type="cellIs" dxfId="1193" priority="16" operator="equal">
      <formula>"Alta"</formula>
    </cfRule>
    <cfRule type="cellIs" dxfId="1192" priority="17" operator="equal">
      <formula>"Media"</formula>
    </cfRule>
    <cfRule type="cellIs" dxfId="1191" priority="18" operator="equal">
      <formula>"Baja"</formula>
    </cfRule>
    <cfRule type="cellIs" dxfId="1190" priority="19" operator="equal">
      <formula>"Muy Baja"</formula>
    </cfRule>
  </conditionalFormatting>
  <conditionalFormatting sqref="N348:N371">
    <cfRule type="cellIs" dxfId="1189" priority="10" operator="equal">
      <formula>"Mayor"</formula>
    </cfRule>
    <cfRule type="cellIs" dxfId="1188" priority="11" operator="equal">
      <formula>"Moderado"</formula>
    </cfRule>
    <cfRule type="cellIs" dxfId="1187" priority="12" operator="equal">
      <formula>"Menor"</formula>
    </cfRule>
    <cfRule type="cellIs" dxfId="1186" priority="13" operator="equal">
      <formula>"Leve"</formula>
    </cfRule>
    <cfRule type="cellIs" dxfId="1185" priority="14" operator="equal">
      <formula>"Catastrófico"</formula>
    </cfRule>
  </conditionalFormatting>
  <conditionalFormatting sqref="AH342:AH371">
    <cfRule type="cellIs" dxfId="1184" priority="6" operator="equal">
      <formula>"Extremo"</formula>
    </cfRule>
    <cfRule type="cellIs" dxfId="1183" priority="7" operator="equal">
      <formula>"Alto"</formula>
    </cfRule>
    <cfRule type="cellIs" dxfId="1182" priority="8" operator="equal">
      <formula>"Moderado"</formula>
    </cfRule>
    <cfRule type="cellIs" dxfId="1181" priority="9" operator="equal">
      <formula>"Bajo"</formula>
    </cfRule>
  </conditionalFormatting>
  <conditionalFormatting sqref="AG342:AG371">
    <cfRule type="cellIs" dxfId="1180" priority="1" operator="equal">
      <formula>"Catastrófico"</formula>
    </cfRule>
    <cfRule type="cellIs" dxfId="1179" priority="2" operator="equal">
      <formula>"Mayor"</formula>
    </cfRule>
    <cfRule type="cellIs" dxfId="1178" priority="3" operator="equal">
      <formula>"Moderado"</formula>
    </cfRule>
    <cfRule type="cellIs" dxfId="1177" priority="4" operator="equal">
      <formula>"Menor"</formula>
    </cfRule>
    <cfRule type="cellIs" dxfId="1176" priority="5" operator="equal">
      <formula>"Leve"</formula>
    </cfRule>
  </conditionalFormatting>
  <dataValidations count="15">
    <dataValidation type="list" allowBlank="1" showInputMessage="1" showErrorMessage="1" sqref="H6:H77 H342:H449 H108:H287 H456:H479">
      <formula1>$FP$2:$FP$10</formula1>
    </dataValidation>
    <dataValidation type="list" allowBlank="1" showInputMessage="1" showErrorMessage="1" sqref="AI24 AI348 AI342 AI354 AI360 AI366 AI294 AI300 AI306 AI312 AI234 AI240 AI474 AI468 AI270 AI282 AI456 AI426 AI186:AJ186 AI204 AI138 AI132 AI198:AJ198 AI288 AI432 AI252 AI30 AI258 AI462 AI42 AI246 AI216 AI144 AI384 AI150 AI48 AI162 AI438 AI408 AI336 AI180:AJ180 AI168 AI174 AI156 AI78 AI66 AI36 AI126 AI330 AI444 AI108 AI120 AI60 AI402 AI396 AI390 AI414 AI420 AI54 AI450 AI210 AI264 AI222 AI114 AI84 AI72 AI90 AI96 AI102 AI276 AI192 AI228 AI324 AI378 AI372 AI318 AI12 AI6 AI18">
      <formula1>$FX$2:$FX$5</formula1>
    </dataValidation>
    <dataValidation type="list" allowBlank="1" showInputMessage="1" showErrorMessage="1" sqref="M6 M348 M354 M360 M366 M342 M300 M306 M312 M288 M282 M270 M456 M426 M48 M204 M198 M138 M234 M432 M252 M264 M210 M240 M42 M258 M216 M144 M384 M474 M162 M168 M438 M420 M336 M468 M132 M174 M156 M78 M66 M36 M108 M150 M330 M444 M120 M126 M60 M414 M396 M390 M408 M54 M402 M450 M30 M246 M222 M114 M84 M90 M96 M102 M72 M276 M228 M324 M318 M378 M372 M294 M24 M18 M12">
      <formula1>$FQ$2:$FQ$18</formula1>
    </dataValidation>
    <dataValidation type="list" allowBlank="1" showInputMessage="1" showErrorMessage="1" sqref="C6 C348 C354 C360 C366 C342 C300 C306 C312 C288 C240 C186 C474 C468 C282 C270 C456 C426 C192 C204 C198 C138 C42 C432 C252 C264 C462 C48 C30 C258 C216 C144 C384 C228 C162 C168 C438 C408 C336 C234 C132 C174 C150 C156 C78 C66 C36 C108 C330 C444 C120 C126 C60 C414 C396 C390 C420 C54 C402 C450 C210 C246 C222 C114 C84 C90 C96 C102 C72 C276 C180 C324 C318 C378 C372 C294 C12 C18 C24">
      <formula1>$FN$2:$FN$4</formula1>
    </dataValidation>
    <dataValidation type="list" allowBlank="1" showInputMessage="1" showErrorMessage="1" sqref="G114 G372 G330 G324 G318 G294 G300 G306 G312 G288 G132:G150 G456 G390 G204 G168 G174 G252 G384 G162 G78 G120 G216 G210 G264 G246 G222 G156 G126 G108 G444 G258 G396 G228 G402:G426 G378 G234 G240 G336 G450 G30:G65 G432 G84 G90 G96 G102">
      <formula1>$FO$2:$FO$4</formula1>
    </dataValidation>
    <dataValidation type="list" allowBlank="1" showInputMessage="1" showErrorMessage="1" sqref="AO378 AO354 AO360 AO366 AO348:AO349 AO252 AO228 AO234 AO240 AO222 AO456 AO426 AO258 AO216 AO144 AO198 AO384 AO168 AO174 AO264 AO138 AO156 AO474:AO476 AO162 AO78 AO396 AO114 AO432 AO468:AO470 AO444 AO126 AO48 AO186 AO462 AO210:AO211 AO192 AO204:AO205 AO450 AO180 AO438:AO440 AO120 AO84 AO90 AO96 AO102:AO103 AO72">
      <formula1>$FY$2:$FY$3</formula1>
    </dataValidation>
    <dataValidation type="list" allowBlank="1" showInputMessage="1" showErrorMessage="1" sqref="H450 H78 H84 H90 H96 H102">
      <formula1>$FP$2:$FP$7</formula1>
    </dataValidation>
    <dataValidation type="list" allowBlank="1" showInputMessage="1" showErrorMessage="1" sqref="U393:U479 U70:U389 U6:U68">
      <formula1>$FT$2:$FT$3</formula1>
    </dataValidation>
    <dataValidation type="list" allowBlank="1" showInputMessage="1" showErrorMessage="1" sqref="T393:T479 T70:T389 T6:T68">
      <formula1>$FS$2:$FS$4</formula1>
    </dataValidation>
    <dataValidation type="list" allowBlank="1" showInputMessage="1" showErrorMessage="1" sqref="S393:S479 S70:S389 S6:S68">
      <formula1>$FR$2:$FR$3</formula1>
    </dataValidation>
    <dataValidation type="list" allowBlank="1" showInputMessage="1" showErrorMessage="1" sqref="H288 H312 H306 H300 H294 H318 H324 H330 H336">
      <formula1>$FP$2:$FP$9</formula1>
    </dataValidation>
    <dataValidation type="list" allowBlank="1" showInputMessage="1" showErrorMessage="1" sqref="Y6:Y68 Y70:Y479">
      <formula1>$FW$2:$FW$3</formula1>
    </dataValidation>
    <dataValidation type="list" allowBlank="1" showInputMessage="1" showErrorMessage="1" sqref="X6:X68 X70:X479">
      <formula1>$FV$2:$FV$3</formula1>
    </dataValidation>
    <dataValidation type="list" allowBlank="1" showInputMessage="1" showErrorMessage="1" sqref="W6:W68 W70:W479">
      <formula1>$FU$2:$FU$3</formula1>
    </dataValidation>
    <dataValidation type="list" allowBlank="1" showInputMessage="1" showErrorMessage="1" sqref="M186 M462 M180 M192">
      <formula1>$FQ$2:$FQ$14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[13]DESPLEGABLES!#REF!</xm:f>
          </x14:formula1>
          <xm:sqref>AO6:AO34 AO108 AO54 AO60 AO42 AO276:AO277 AO390 AO36 AO282:AO283 AO342</xm:sqref>
        </x14:dataValidation>
        <x14:dataValidation type="list" allowBlank="1" showInputMessage="1" showErrorMessage="1">
          <x14:formula1>
            <xm:f>[14]DESPLEGABLES!#REF!</xm:f>
          </x14:formula1>
          <xm:sqref>G6:G29 G462:G479 G66:G77 G438:G443 G180:G203 G270:G287 G342:G371</xm:sqref>
        </x14:dataValidation>
        <x14:dataValidation type="list" allowBlank="1" showInputMessage="1" showErrorMessage="1">
          <x14:formula1>
            <xm:f>[11]DESPLEGABLES!#REF!</xm:f>
          </x14:formula1>
          <xm:sqref>T390:U392</xm:sqref>
        </x14:dataValidation>
        <x14:dataValidation type="list" allowBlank="1" showInputMessage="1" showErrorMessage="1">
          <x14:formula1>
            <xm:f>[15]DESPLEGABLES!#REF!</xm:f>
          </x14:formula1>
          <xm:sqref>AO417:AO425 AO402:AO415</xm:sqref>
        </x14:dataValidation>
        <x14:dataValidation type="list" allowBlank="1" showInputMessage="1" showErrorMessage="1">
          <x14:formula1>
            <xm:f>[16]DESPLEGABLES!#REF!</xm:f>
          </x14:formula1>
          <xm:sqref>AO217:AO221</xm:sqref>
        </x14:dataValidation>
        <x14:dataValidation type="list" allowBlank="1" showInputMessage="1" showErrorMessage="1">
          <x14:formula1>
            <xm:f>[17]DESPLEGABLES!#REF!</xm:f>
          </x14:formula1>
          <xm:sqref>AO288:AO341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99"/>
  <sheetViews>
    <sheetView topLeftCell="A88" workbookViewId="0">
      <selection activeCell="E102" sqref="E102"/>
    </sheetView>
  </sheetViews>
  <sheetFormatPr baseColWidth="10" defaultRowHeight="12.75" x14ac:dyDescent="0.2"/>
  <cols>
    <col min="1" max="1" width="11.42578125" style="81"/>
    <col min="2" max="2" width="11.42578125" style="87"/>
    <col min="3" max="45" width="11.42578125" style="81" customWidth="1"/>
    <col min="46" max="16384" width="11.42578125" style="81"/>
  </cols>
  <sheetData>
    <row r="1" spans="1:53" s="83" customFormat="1" ht="87" customHeight="1" x14ac:dyDescent="0.2">
      <c r="A1" s="272" t="s">
        <v>305</v>
      </c>
      <c r="B1" s="272"/>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AY1" s="274"/>
      <c r="AZ1" s="82" t="s">
        <v>0</v>
      </c>
      <c r="BA1" s="82" t="s">
        <v>1</v>
      </c>
    </row>
    <row r="2" spans="1:53" s="83" customFormat="1" ht="18" customHeight="1" x14ac:dyDescent="0.2">
      <c r="A2" s="222" t="s">
        <v>4</v>
      </c>
      <c r="B2" s="222"/>
      <c r="C2" s="222"/>
      <c r="D2" s="222"/>
      <c r="E2" s="222"/>
      <c r="F2" s="222" t="s">
        <v>5</v>
      </c>
      <c r="G2" s="222"/>
      <c r="H2" s="222"/>
      <c r="I2" s="222"/>
      <c r="J2" s="222"/>
      <c r="K2" s="222"/>
      <c r="L2" s="222" t="s">
        <v>6</v>
      </c>
      <c r="M2" s="222"/>
      <c r="N2" s="222"/>
      <c r="O2" s="222"/>
      <c r="P2" s="222"/>
      <c r="Q2" s="222"/>
      <c r="R2" s="222"/>
      <c r="S2" s="222"/>
      <c r="T2" s="222"/>
      <c r="U2" s="222"/>
      <c r="V2" s="222"/>
      <c r="W2" s="222"/>
      <c r="X2" s="222"/>
      <c r="Y2" s="222"/>
      <c r="Z2" s="222"/>
      <c r="AA2" s="222"/>
      <c r="AB2" s="222"/>
      <c r="AC2" s="222"/>
      <c r="AD2" s="84" t="s">
        <v>7</v>
      </c>
      <c r="AE2" s="223" t="s">
        <v>8</v>
      </c>
      <c r="AF2" s="223"/>
      <c r="AG2" s="223" t="s">
        <v>9</v>
      </c>
      <c r="AH2" s="223" t="s">
        <v>10</v>
      </c>
      <c r="AI2" s="223"/>
      <c r="AJ2" s="223" t="s">
        <v>11</v>
      </c>
      <c r="AK2" s="223" t="s">
        <v>12</v>
      </c>
      <c r="AL2" s="223" t="s">
        <v>13</v>
      </c>
      <c r="AM2" s="223" t="s">
        <v>14</v>
      </c>
      <c r="AN2" s="223" t="s">
        <v>15</v>
      </c>
      <c r="AO2" s="223" t="s">
        <v>12</v>
      </c>
      <c r="AP2" s="223" t="s">
        <v>16</v>
      </c>
      <c r="AQ2" s="223" t="s">
        <v>17</v>
      </c>
      <c r="AR2" s="223" t="s">
        <v>18</v>
      </c>
      <c r="AS2" s="85"/>
      <c r="AT2" s="278" t="s">
        <v>19</v>
      </c>
      <c r="AU2" s="278"/>
      <c r="AV2" s="278"/>
      <c r="AW2" s="278"/>
      <c r="AX2" s="278"/>
      <c r="AY2" s="279"/>
      <c r="AZ2" s="261" t="s">
        <v>20</v>
      </c>
      <c r="BA2" s="261" t="s">
        <v>21</v>
      </c>
    </row>
    <row r="3" spans="1:53" s="83" customFormat="1" ht="33.75" customHeight="1" x14ac:dyDescent="0.2">
      <c r="A3" s="275" t="s">
        <v>22</v>
      </c>
      <c r="B3" s="258" t="s">
        <v>141</v>
      </c>
      <c r="C3" s="255" t="s">
        <v>24</v>
      </c>
      <c r="D3" s="255" t="s">
        <v>25</v>
      </c>
      <c r="E3" s="223" t="s">
        <v>27</v>
      </c>
      <c r="F3" s="223" t="s">
        <v>28</v>
      </c>
      <c r="G3" s="222" t="s">
        <v>29</v>
      </c>
      <c r="H3" s="223" t="s">
        <v>30</v>
      </c>
      <c r="I3" s="223" t="s">
        <v>31</v>
      </c>
      <c r="J3" s="222" t="s">
        <v>29</v>
      </c>
      <c r="K3" s="223" t="s">
        <v>32</v>
      </c>
      <c r="L3" s="257" t="s">
        <v>33</v>
      </c>
      <c r="M3" s="223" t="s">
        <v>34</v>
      </c>
      <c r="N3" s="254" t="s">
        <v>297</v>
      </c>
      <c r="O3" s="254"/>
      <c r="P3" s="254" t="s">
        <v>298</v>
      </c>
      <c r="Q3" s="254"/>
      <c r="R3" s="254" t="s">
        <v>299</v>
      </c>
      <c r="S3" s="254"/>
      <c r="T3" s="254" t="s">
        <v>300</v>
      </c>
      <c r="U3" s="254"/>
      <c r="V3" s="254" t="s">
        <v>301</v>
      </c>
      <c r="W3" s="254"/>
      <c r="X3" s="254" t="s">
        <v>302</v>
      </c>
      <c r="Y3" s="254"/>
      <c r="Z3" s="254" t="s">
        <v>303</v>
      </c>
      <c r="AA3" s="254"/>
      <c r="AB3" s="223" t="s">
        <v>42</v>
      </c>
      <c r="AC3" s="223" t="s">
        <v>43</v>
      </c>
      <c r="AD3" s="254" t="s">
        <v>304</v>
      </c>
      <c r="AE3" s="223"/>
      <c r="AF3" s="223"/>
      <c r="AG3" s="223"/>
      <c r="AH3" s="223"/>
      <c r="AI3" s="223"/>
      <c r="AJ3" s="223"/>
      <c r="AK3" s="223"/>
      <c r="AL3" s="223"/>
      <c r="AM3" s="223"/>
      <c r="AN3" s="223"/>
      <c r="AO3" s="223"/>
      <c r="AP3" s="223"/>
      <c r="AQ3" s="223"/>
      <c r="AR3" s="223"/>
      <c r="AS3" s="257" t="s">
        <v>45</v>
      </c>
      <c r="AT3" s="263" t="s">
        <v>19</v>
      </c>
      <c r="AU3" s="252" t="s">
        <v>46</v>
      </c>
      <c r="AV3" s="252" t="s">
        <v>47</v>
      </c>
      <c r="AW3" s="252" t="s">
        <v>48</v>
      </c>
      <c r="AX3" s="252" t="s">
        <v>49</v>
      </c>
      <c r="AY3" s="252" t="s">
        <v>50</v>
      </c>
      <c r="AZ3" s="262"/>
      <c r="BA3" s="262"/>
    </row>
    <row r="4" spans="1:53" s="83" customFormat="1" ht="39" customHeight="1" x14ac:dyDescent="0.2">
      <c r="A4" s="276"/>
      <c r="B4" s="260"/>
      <c r="C4" s="277"/>
      <c r="D4" s="277"/>
      <c r="E4" s="255"/>
      <c r="F4" s="255"/>
      <c r="G4" s="259"/>
      <c r="H4" s="255"/>
      <c r="I4" s="259"/>
      <c r="J4" s="259"/>
      <c r="K4" s="255"/>
      <c r="L4" s="258"/>
      <c r="M4" s="255"/>
      <c r="N4" s="114" t="s">
        <v>51</v>
      </c>
      <c r="O4" s="114" t="s">
        <v>52</v>
      </c>
      <c r="P4" s="114" t="s">
        <v>53</v>
      </c>
      <c r="Q4" s="114" t="s">
        <v>52</v>
      </c>
      <c r="R4" s="114" t="s">
        <v>54</v>
      </c>
      <c r="S4" s="114" t="s">
        <v>52</v>
      </c>
      <c r="T4" s="114" t="s">
        <v>55</v>
      </c>
      <c r="U4" s="114" t="s">
        <v>52</v>
      </c>
      <c r="V4" s="114" t="s">
        <v>56</v>
      </c>
      <c r="W4" s="114" t="s">
        <v>52</v>
      </c>
      <c r="X4" s="114" t="s">
        <v>57</v>
      </c>
      <c r="Y4" s="114" t="s">
        <v>52</v>
      </c>
      <c r="Z4" s="114" t="s">
        <v>58</v>
      </c>
      <c r="AA4" s="114" t="s">
        <v>52</v>
      </c>
      <c r="AB4" s="255"/>
      <c r="AC4" s="255"/>
      <c r="AD4" s="256"/>
      <c r="AE4" s="102" t="s">
        <v>59</v>
      </c>
      <c r="AF4" s="102" t="s">
        <v>60</v>
      </c>
      <c r="AG4" s="255"/>
      <c r="AH4" s="102" t="s">
        <v>60</v>
      </c>
      <c r="AI4" s="102" t="s">
        <v>59</v>
      </c>
      <c r="AJ4" s="255"/>
      <c r="AK4" s="255"/>
      <c r="AL4" s="255"/>
      <c r="AM4" s="255"/>
      <c r="AN4" s="255"/>
      <c r="AO4" s="255"/>
      <c r="AP4" s="255"/>
      <c r="AQ4" s="255"/>
      <c r="AR4" s="255"/>
      <c r="AS4" s="258"/>
      <c r="AT4" s="264"/>
      <c r="AU4" s="253"/>
      <c r="AV4" s="253"/>
      <c r="AW4" s="253"/>
      <c r="AX4" s="253"/>
      <c r="AY4" s="253"/>
      <c r="AZ4" s="262"/>
      <c r="BA4" s="262"/>
    </row>
    <row r="5" spans="1:53" s="86" customFormat="1" ht="24" customHeight="1" x14ac:dyDescent="0.2">
      <c r="A5" s="244" t="s">
        <v>306</v>
      </c>
      <c r="B5" s="227" t="s">
        <v>232</v>
      </c>
      <c r="C5" s="227" t="s">
        <v>61</v>
      </c>
      <c r="D5" s="227" t="s">
        <v>62</v>
      </c>
      <c r="E5" s="227" t="s">
        <v>64</v>
      </c>
      <c r="F5" s="229" t="str">
        <f>IF(AND(E5=[1]calificación_impacto_corrupción!$B$2),[1]calificación_impacto_corrupción!$A$2,IF(AND(E5=[1]calificación_impacto_corrupción!$B$3),[1]calificación_impacto_corrupción!$A$3,IF(AND(E5=[1]calificación_impacto_corrupción!$B$4),[1]calificación_impacto_corrupción!$A$4,IF(AND(E5=[1]calificación_impacto_corrupción!$B$5),[1]calificación_impacto_corrupción!$A$5,IF(AND(E5=[1]calificación_impacto_corrupción!$B$6),[1]calificación_impacto_corrupción!$A$6,FALSE)))))</f>
        <v>Rara vez</v>
      </c>
      <c r="G5" s="229" t="str">
        <f>IF(AND(E5=[1]calificación_impacto_corrupción!$B$6),"20%",IF(AND(E5=[1]calificación_impacto_corrupción!$B$5),"40%",IF(AND(E5=[1]calificación_impacto_corrupción!$B$4),"60%",IF(AND(E5=[1]calificación_impacto_corrupción!$B$3),"80%",IF(AND(E5=[1]calificación_impacto_corrupción!$B$2),"100%",FALSE)))))</f>
        <v>20%</v>
      </c>
      <c r="H5" s="228" t="s">
        <v>65</v>
      </c>
      <c r="I5" s="229" t="str">
        <f>IF(AND(H5=[13]DESPLEGABLES!$A$19),"Leve",IF(AND(H5=[13]DESPLEGABLES!$A$20),"Menor",IF(AND(H5=[13]DESPLEGABLES!$A$21),"Moderado",IF(AND(H5=[13]DESPLEGABLES!$A$22),"Mayor",IF(AND(H5=[13]DESPLEGABLES!$A$23),"Catastrófico",IF(AND(H5=[13]DESPLEGABLES!$A$25),"Leve",IF(AND(H5=[13]DESPLEGABLES!$A$26),"Menor",IF(AND(H5=[13]DESPLEGABLES!$A$27),"Moderado",IF(AND(H5=[13]DESPLEGABLES!$A$28),"Mayor",IF(AND(H5=[13]DESPLEGABLES!$A$29),"Catastrófico",IF(AND(H5=[13]DESPLEGABLES!$A$31),"Moderado",IF(AND(H5=[13]DESPLEGABLES!$A$32),"Mayor",IF(AND(H5=[13]DESPLEGABLES!$A$33),"Catastrófico","")))))))))))))</f>
        <v>Catastrófico</v>
      </c>
      <c r="J5" s="229" t="str">
        <f>IF(AND(I5="Leve"),"20%",IF(AND(I5="Menor"),"40%",IF(AND(I5="Moderado"),"60%",IF(AND(I5="Mayor"),"80%",IF(AND(I5="Catastrófico"),"100%","")))))</f>
        <v>100%</v>
      </c>
      <c r="K5" s="229" t="str">
        <f>IF(AND(G5&lt;="40%",J5="20%"),"Bajo",IF(AND(G5="60%",J5="20%"),"Moderado",IF(AND(G5="80%",J5="20%"),"Moderado",IF(AND(G5="100%",J5="20%"),"Alto",IF(AND(G5="20%",J5="40%"),"Bajo",IF(AND(G5="40%",J5="40%"),"Moderado",IF(AND(G5="60%",J5="40%"),"Moderado",IF(AND(G5="80%",J5="40%"),"Moderado",IF(AND(G5="100%",J5="40%"),"Alto",IF(AND(G5="20%",J5="60%"),"Moderado",IF(AND(G5="40%",J5="60%"),"Moderado",IF(AND(G5="60%",J5="60%"),"Moderado",IF(AND(G5="80%",J5="60%"),"Alto",IF(AND(G5="100%",J5="60%"),"Alto",IF(AND(G5="20%",J5="80%"),"Alto",IF(AND(G5="40%",J5="80%"),"Alto",IF(AND(G5="60%",J5="80%"),"Alto",IF(AND(G5="80%",J5="80%"),"Alto",IF(AND(G5="100%",J5="80%"),"Alto",IF(AND(G5="20%",J5="100%"),"Extremo",IF(AND(G5="40%",J5="100%"),"Extremo",IF(AND(G5="60%",J5="100%"),"Extremo",IF(AND(G5="80%",J5="100%"),"Moderado",IF(AND(G5="100%",J5="100%"),"Extremo",""))))))))))))))))))))))))</f>
        <v>Extremo</v>
      </c>
      <c r="L5" s="187">
        <v>1</v>
      </c>
      <c r="M5" s="113" t="s">
        <v>66</v>
      </c>
      <c r="N5" s="115" t="s">
        <v>67</v>
      </c>
      <c r="O5" s="175">
        <f>IF(N5="Asignado",15,IF(N5="NO asignado",0))</f>
        <v>15</v>
      </c>
      <c r="P5" s="116" t="s">
        <v>68</v>
      </c>
      <c r="Q5" s="175">
        <f>IF(P5="Adecuado",15,IF(P5="Inadecuado",0))</f>
        <v>15</v>
      </c>
      <c r="R5" s="116" t="s">
        <v>69</v>
      </c>
      <c r="S5" s="175">
        <f>IF(R5="Oportuna",15,IF(R5="Inoportuna",0))</f>
        <v>15</v>
      </c>
      <c r="T5" s="116" t="s">
        <v>70</v>
      </c>
      <c r="U5" s="175">
        <f>IF(T5="Prevenir",15,IF(T5="Detectar",10,IF(T5="No es un control",0)))</f>
        <v>15</v>
      </c>
      <c r="V5" s="116" t="s">
        <v>71</v>
      </c>
      <c r="W5" s="175">
        <f>IF(V5="Confiable",15,IF(V5="No confiable",0))</f>
        <v>15</v>
      </c>
      <c r="X5" s="116" t="s">
        <v>72</v>
      </c>
      <c r="Y5" s="175">
        <f>IF(X5="Se investigan oportunamente",15,IF(X5="No se investigan oportunamente",0))</f>
        <v>15</v>
      </c>
      <c r="Z5" s="116" t="s">
        <v>90</v>
      </c>
      <c r="AA5" s="175">
        <f>IF(Z5="Completa",10,IF(Z5="Incompleta",5,IF(Z5="No existe",0)))</f>
        <v>10</v>
      </c>
      <c r="AB5" s="185">
        <f>O5+Q5+S5+U5+W5+Y5+AA5</f>
        <v>100</v>
      </c>
      <c r="AC5" s="185" t="str">
        <f>IF(AB5&lt;86,"Débil",(IF(AB5&lt;96,"Moderado","Fuerte")))</f>
        <v>Fuerte</v>
      </c>
      <c r="AD5" s="185" t="s">
        <v>74</v>
      </c>
      <c r="AE5" s="185" t="str">
        <f>IF(OR(AND(AC5="Fuerte",AD5="Moderado"),AND(AC5="Moderado",AD5="Fuerte"),AND(AC5="Moderado",AD5="Moderado")),"Moderado",IF(OR(AND(AC5="Fuerte",AD5="Débil"),AND(AC5="Moderado",AD5="Débil"),AND(AC5="Débil")),"Débil",IF(AND(AC5="Fuerte",AD5="Fuerte"),"Fuerte")))</f>
        <v>Fuerte</v>
      </c>
      <c r="AF5" s="185" t="str">
        <f>IF(AE5="Fuerte","100",IF(AE5="Moderado","50",IF(AE5="Débil","0")))</f>
        <v>100</v>
      </c>
      <c r="AG5" s="232">
        <v>4</v>
      </c>
      <c r="AH5" s="232">
        <f>(AF5+AF6+AF7+AF8+AF9)/AG5</f>
        <v>100</v>
      </c>
      <c r="AI5" s="232" t="str">
        <f>IF(AH5&lt;50,"Débil",IF(AH5&lt;=99,"Moderado",IF(AH5=100,"Fuerte",IF(AH5="","ERROR"))))</f>
        <v>Fuerte</v>
      </c>
      <c r="AJ5" s="232" t="s">
        <v>75</v>
      </c>
      <c r="AK5" s="239">
        <f>IF(AI5="Débil",0,IF(AND(AI5="Moderado",AJ5="Directamente"),20%,IF(AND(AI5="Moderado",AJ5="No disminuye"),0,IF(AND(AI5="Fuerte",AJ5="Directamente"),40%,IF(AND(AI5="Fuerte",AJ5="No disminuye"),0)))))</f>
        <v>0.4</v>
      </c>
      <c r="AL5" s="230">
        <f>AK5-G5</f>
        <v>0.2</v>
      </c>
      <c r="AM5" s="229" t="str">
        <f>IF(AL5=100%,"Casi Seguro",IF(AL5=80,"Probable",IF(AL5=60%,"Posible",IF(AL5=40%,"Improbable",IF(AL5=20%,"Rara Vez",IF(AL5=0,"Rara Vez",IF(AL5&lt;0,"Rara Vez")))))))</f>
        <v>Rara Vez</v>
      </c>
      <c r="AN5" s="243" t="s">
        <v>76</v>
      </c>
      <c r="AO5" s="242">
        <f>IF(AI5="Débil",0,IF(AND(AI5="Moderado",AN5="Directamente"),20%,IF(AND(AI5="Moderado",AN5="Indirectamente"),0,IF(AND(AI5="Moderado",AN5="No disminuye"),0,IF(AND(AI5="Fuerte",AN5="Directamente"),40%,IF(AND(AI5="Fuerte",AN5="Indirectamente"),20%,IF(AND(AI5="Fuerte",AN5="No disminuye"),0)))))))</f>
        <v>0.2</v>
      </c>
      <c r="AP5" s="230">
        <f>J5-AO5</f>
        <v>0.8</v>
      </c>
      <c r="AQ5" s="229" t="str">
        <f>IF(AP5=100%,"Catastrófico",IF(AP5=80%,"Mayor",IF(AP5=60%,"Moderado",IF(AP5&lt;=60%,"Moderado"))))</f>
        <v>Mayor</v>
      </c>
      <c r="AR5" s="232" t="str">
        <f>IF(OR(AND(AQ5="Moderado",AM5="Rara Vez"),AND(AQ5="Moderado",AM5="Improbable")),"Moderado",IF(OR(AND(AQ5="Mayor",AM5="Improbable"),AND(AQ5="Mayor",AM5="Rara Vez"),AND(AQ5="Moderado",AM5="Probable"),AND(AQ5="Moderado",AM5="Posible")),"Alto",IF(OR(AND(AQ5="Moderado",AM5="Casi Seguro"),AND(AQ5="Mayor",AM5="Posible"),AND(AQ5="Mayor",AM5="Probable"),AND(AQ5="Mayor",AM5="Casi Seguro")),"Extremo",IF(AQ5="Catastrófico","Extremo"))))</f>
        <v>Alto</v>
      </c>
      <c r="AS5" s="248" t="s">
        <v>77</v>
      </c>
      <c r="AT5" s="186"/>
      <c r="AU5" s="186"/>
      <c r="AV5" s="117"/>
      <c r="AW5" s="117"/>
      <c r="AX5" s="118"/>
      <c r="AY5" s="187"/>
      <c r="AZ5" s="227" t="s">
        <v>728</v>
      </c>
      <c r="BA5" s="227" t="s">
        <v>93</v>
      </c>
    </row>
    <row r="6" spans="1:53" s="86" customFormat="1" ht="24" customHeight="1" x14ac:dyDescent="0.25">
      <c r="A6" s="244"/>
      <c r="B6" s="227"/>
      <c r="C6" s="227"/>
      <c r="D6" s="227"/>
      <c r="E6" s="227"/>
      <c r="F6" s="229"/>
      <c r="G6" s="229"/>
      <c r="H6" s="228"/>
      <c r="I6" s="229"/>
      <c r="J6" s="229"/>
      <c r="K6" s="229"/>
      <c r="L6" s="187">
        <v>2</v>
      </c>
      <c r="M6" s="113" t="s">
        <v>84</v>
      </c>
      <c r="N6" s="115" t="s">
        <v>67</v>
      </c>
      <c r="O6" s="175">
        <f t="shared" ref="O6:O9" si="0">IF(N6="Asignado",15,IF(N6="NO asignado",0))</f>
        <v>15</v>
      </c>
      <c r="P6" s="116" t="s">
        <v>68</v>
      </c>
      <c r="Q6" s="175">
        <f t="shared" ref="Q6:Q9" si="1">IF(P6="Adecuado",15,IF(P6="Inadecuado",0))</f>
        <v>15</v>
      </c>
      <c r="R6" s="116" t="s">
        <v>69</v>
      </c>
      <c r="S6" s="175">
        <f t="shared" ref="S6:S9" si="2">IF(R6="Oportuna",15,IF(R6="Inoportuna",0))</f>
        <v>15</v>
      </c>
      <c r="T6" s="116" t="s">
        <v>70</v>
      </c>
      <c r="U6" s="175">
        <f t="shared" ref="U6:U9" si="3">IF(T6="Prevenir",15,IF(T6="Detectar",10,IF(T6="No es un control",0)))</f>
        <v>15</v>
      </c>
      <c r="V6" s="116" t="s">
        <v>71</v>
      </c>
      <c r="W6" s="175">
        <f t="shared" ref="W6:W9" si="4">IF(V6="Confiable",15,IF(V6="No confiable",0))</f>
        <v>15</v>
      </c>
      <c r="X6" s="116" t="s">
        <v>72</v>
      </c>
      <c r="Y6" s="175">
        <f t="shared" ref="Y6:Y9" si="5">IF(X6="Se investigan oportunamente",15,IF(X6="No se investigan oportunamente",0))</f>
        <v>15</v>
      </c>
      <c r="Z6" s="116" t="s">
        <v>90</v>
      </c>
      <c r="AA6" s="175">
        <f t="shared" ref="AA6:AA9" si="6">IF(Z6="Completa",10,IF(Z6="Incompleta",5,IF(Z6="No existe",0)))</f>
        <v>10</v>
      </c>
      <c r="AB6" s="185">
        <f t="shared" ref="AB6:AB9" si="7">O6+Q6+S6+U6+W6+Y6+AA6</f>
        <v>100</v>
      </c>
      <c r="AC6" s="185" t="str">
        <f t="shared" ref="AC6:AC9" si="8">IF(AB6&lt;86,"Débil",(IF(AB6&lt;96,"Moderado","Fuerte")))</f>
        <v>Fuerte</v>
      </c>
      <c r="AD6" s="185" t="s">
        <v>74</v>
      </c>
      <c r="AE6" s="185" t="str">
        <f t="shared" ref="AE6:AE9" si="9">IF(OR(AND(AC6="Fuerte",AD6="Moderado"),AND(AC6="Moderado",AD6="Fuerte"),AND(AC6="Moderado",AD6="Moderado")),"Moderado",IF(OR(AND(AC6="Fuerte",AD6="Débil"),AND(AC6="Moderado",AD6="Débil"),AND(AC6="Débil")),"Débil",IF(AND(AC6="Fuerte",AD6="Fuerte"),"Fuerte")))</f>
        <v>Fuerte</v>
      </c>
      <c r="AF6" s="185" t="str">
        <f t="shared" ref="AF6:AF9" si="10">IF(AE6="Fuerte","100",IF(AE6="Moderado","50",IF(AE6="Débil","0")))</f>
        <v>100</v>
      </c>
      <c r="AG6" s="232"/>
      <c r="AH6" s="232"/>
      <c r="AI6" s="232"/>
      <c r="AJ6" s="232"/>
      <c r="AK6" s="239"/>
      <c r="AL6" s="231"/>
      <c r="AM6" s="229"/>
      <c r="AN6" s="243"/>
      <c r="AO6" s="242"/>
      <c r="AP6" s="231"/>
      <c r="AQ6" s="229"/>
      <c r="AR6" s="232"/>
      <c r="AS6" s="248"/>
      <c r="AT6" s="186"/>
      <c r="AU6" s="187"/>
      <c r="AV6" s="117"/>
      <c r="AW6" s="117"/>
      <c r="AX6" s="186"/>
      <c r="AY6" s="187"/>
      <c r="AZ6" s="227"/>
      <c r="BA6" s="227"/>
    </row>
    <row r="7" spans="1:53" s="86" customFormat="1" ht="24" customHeight="1" x14ac:dyDescent="0.25">
      <c r="A7" s="244"/>
      <c r="B7" s="227"/>
      <c r="C7" s="227"/>
      <c r="D7" s="227"/>
      <c r="E7" s="227"/>
      <c r="F7" s="229"/>
      <c r="G7" s="229"/>
      <c r="H7" s="228"/>
      <c r="I7" s="229"/>
      <c r="J7" s="229"/>
      <c r="K7" s="229"/>
      <c r="L7" s="187">
        <v>3</v>
      </c>
      <c r="M7" s="113" t="s">
        <v>85</v>
      </c>
      <c r="N7" s="115" t="s">
        <v>67</v>
      </c>
      <c r="O7" s="175">
        <f t="shared" si="0"/>
        <v>15</v>
      </c>
      <c r="P7" s="116" t="s">
        <v>68</v>
      </c>
      <c r="Q7" s="175">
        <f t="shared" si="1"/>
        <v>15</v>
      </c>
      <c r="R7" s="116" t="s">
        <v>69</v>
      </c>
      <c r="S7" s="175">
        <f t="shared" si="2"/>
        <v>15</v>
      </c>
      <c r="T7" s="116" t="s">
        <v>70</v>
      </c>
      <c r="U7" s="175">
        <f t="shared" si="3"/>
        <v>15</v>
      </c>
      <c r="V7" s="116" t="s">
        <v>71</v>
      </c>
      <c r="W7" s="175">
        <f t="shared" si="4"/>
        <v>15</v>
      </c>
      <c r="X7" s="116" t="s">
        <v>72</v>
      </c>
      <c r="Y7" s="175">
        <f t="shared" si="5"/>
        <v>15</v>
      </c>
      <c r="Z7" s="116" t="s">
        <v>90</v>
      </c>
      <c r="AA7" s="175">
        <f t="shared" si="6"/>
        <v>10</v>
      </c>
      <c r="AB7" s="185">
        <f t="shared" si="7"/>
        <v>100</v>
      </c>
      <c r="AC7" s="185" t="str">
        <f t="shared" si="8"/>
        <v>Fuerte</v>
      </c>
      <c r="AD7" s="185" t="s">
        <v>74</v>
      </c>
      <c r="AE7" s="185" t="str">
        <f t="shared" si="9"/>
        <v>Fuerte</v>
      </c>
      <c r="AF7" s="185" t="str">
        <f t="shared" si="10"/>
        <v>100</v>
      </c>
      <c r="AG7" s="232"/>
      <c r="AH7" s="232"/>
      <c r="AI7" s="232"/>
      <c r="AJ7" s="232"/>
      <c r="AK7" s="239"/>
      <c r="AL7" s="231"/>
      <c r="AM7" s="229"/>
      <c r="AN7" s="243"/>
      <c r="AO7" s="242"/>
      <c r="AP7" s="231"/>
      <c r="AQ7" s="229"/>
      <c r="AR7" s="232"/>
      <c r="AS7" s="248"/>
      <c r="AT7" s="186"/>
      <c r="AU7" s="187"/>
      <c r="AV7" s="117"/>
      <c r="AW7" s="117"/>
      <c r="AX7" s="186"/>
      <c r="AY7" s="187"/>
      <c r="AZ7" s="227"/>
      <c r="BA7" s="227"/>
    </row>
    <row r="8" spans="1:53" s="86" customFormat="1" ht="24" customHeight="1" x14ac:dyDescent="0.25">
      <c r="A8" s="244"/>
      <c r="B8" s="227"/>
      <c r="C8" s="227"/>
      <c r="D8" s="227"/>
      <c r="E8" s="227"/>
      <c r="F8" s="229"/>
      <c r="G8" s="229"/>
      <c r="H8" s="228"/>
      <c r="I8" s="229"/>
      <c r="J8" s="229"/>
      <c r="K8" s="229"/>
      <c r="L8" s="187">
        <v>4</v>
      </c>
      <c r="M8" s="113" t="s">
        <v>86</v>
      </c>
      <c r="N8" s="115" t="s">
        <v>67</v>
      </c>
      <c r="O8" s="175">
        <f t="shared" si="0"/>
        <v>15</v>
      </c>
      <c r="P8" s="116" t="s">
        <v>68</v>
      </c>
      <c r="Q8" s="175">
        <f t="shared" si="1"/>
        <v>15</v>
      </c>
      <c r="R8" s="116" t="s">
        <v>69</v>
      </c>
      <c r="S8" s="175">
        <f t="shared" si="2"/>
        <v>15</v>
      </c>
      <c r="T8" s="116" t="s">
        <v>70</v>
      </c>
      <c r="U8" s="175">
        <f t="shared" si="3"/>
        <v>15</v>
      </c>
      <c r="V8" s="116" t="s">
        <v>71</v>
      </c>
      <c r="W8" s="175">
        <f t="shared" si="4"/>
        <v>15</v>
      </c>
      <c r="X8" s="116" t="s">
        <v>72</v>
      </c>
      <c r="Y8" s="175">
        <f t="shared" si="5"/>
        <v>15</v>
      </c>
      <c r="Z8" s="116" t="s">
        <v>90</v>
      </c>
      <c r="AA8" s="175">
        <f t="shared" si="6"/>
        <v>10</v>
      </c>
      <c r="AB8" s="185">
        <f t="shared" si="7"/>
        <v>100</v>
      </c>
      <c r="AC8" s="185" t="str">
        <f t="shared" si="8"/>
        <v>Fuerte</v>
      </c>
      <c r="AD8" s="185" t="s">
        <v>74</v>
      </c>
      <c r="AE8" s="185" t="str">
        <f t="shared" si="9"/>
        <v>Fuerte</v>
      </c>
      <c r="AF8" s="185" t="str">
        <f t="shared" si="10"/>
        <v>100</v>
      </c>
      <c r="AG8" s="232"/>
      <c r="AH8" s="232"/>
      <c r="AI8" s="232"/>
      <c r="AJ8" s="232"/>
      <c r="AK8" s="239"/>
      <c r="AL8" s="231"/>
      <c r="AM8" s="229"/>
      <c r="AN8" s="243"/>
      <c r="AO8" s="242"/>
      <c r="AP8" s="231"/>
      <c r="AQ8" s="229"/>
      <c r="AR8" s="232"/>
      <c r="AS8" s="248"/>
      <c r="AT8" s="186"/>
      <c r="AU8" s="187"/>
      <c r="AV8" s="117"/>
      <c r="AW8" s="117"/>
      <c r="AX8" s="186"/>
      <c r="AY8" s="187"/>
      <c r="AZ8" s="227"/>
      <c r="BA8" s="227"/>
    </row>
    <row r="9" spans="1:53" s="86" customFormat="1" ht="24" customHeight="1" x14ac:dyDescent="0.25">
      <c r="A9" s="244"/>
      <c r="B9" s="227"/>
      <c r="C9" s="227"/>
      <c r="D9" s="227"/>
      <c r="E9" s="227"/>
      <c r="F9" s="229"/>
      <c r="G9" s="229"/>
      <c r="H9" s="228"/>
      <c r="I9" s="229"/>
      <c r="J9" s="229"/>
      <c r="K9" s="229"/>
      <c r="L9" s="187">
        <v>5</v>
      </c>
      <c r="M9" s="113"/>
      <c r="N9" s="115"/>
      <c r="O9" s="175" t="b">
        <f t="shared" si="0"/>
        <v>0</v>
      </c>
      <c r="P9" s="116"/>
      <c r="Q9" s="175" t="b">
        <f t="shared" si="1"/>
        <v>0</v>
      </c>
      <c r="R9" s="116"/>
      <c r="S9" s="175" t="b">
        <f t="shared" si="2"/>
        <v>0</v>
      </c>
      <c r="T9" s="116"/>
      <c r="U9" s="175" t="b">
        <f t="shared" si="3"/>
        <v>0</v>
      </c>
      <c r="V9" s="116"/>
      <c r="W9" s="175" t="b">
        <f t="shared" si="4"/>
        <v>0</v>
      </c>
      <c r="X9" s="116"/>
      <c r="Y9" s="175" t="b">
        <f t="shared" si="5"/>
        <v>0</v>
      </c>
      <c r="Z9" s="116"/>
      <c r="AA9" s="175" t="b">
        <f t="shared" si="6"/>
        <v>0</v>
      </c>
      <c r="AB9" s="185">
        <f t="shared" si="7"/>
        <v>0</v>
      </c>
      <c r="AC9" s="185" t="str">
        <f t="shared" si="8"/>
        <v>Débil</v>
      </c>
      <c r="AD9" s="185"/>
      <c r="AE9" s="185" t="str">
        <f t="shared" si="9"/>
        <v>Débil</v>
      </c>
      <c r="AF9" s="185" t="str">
        <f t="shared" si="10"/>
        <v>0</v>
      </c>
      <c r="AG9" s="232"/>
      <c r="AH9" s="232"/>
      <c r="AI9" s="232"/>
      <c r="AJ9" s="232"/>
      <c r="AK9" s="239"/>
      <c r="AL9" s="231"/>
      <c r="AM9" s="229"/>
      <c r="AN9" s="243"/>
      <c r="AO9" s="242"/>
      <c r="AP9" s="231"/>
      <c r="AQ9" s="229"/>
      <c r="AR9" s="232"/>
      <c r="AS9" s="248"/>
      <c r="AT9" s="186"/>
      <c r="AU9" s="187"/>
      <c r="AV9" s="117"/>
      <c r="AW9" s="117"/>
      <c r="AX9" s="186"/>
      <c r="AY9" s="187"/>
      <c r="AZ9" s="227"/>
      <c r="BA9" s="227"/>
    </row>
    <row r="10" spans="1:53" s="86" customFormat="1" ht="24" customHeight="1" x14ac:dyDescent="0.25">
      <c r="A10" s="638" t="s">
        <v>351</v>
      </c>
      <c r="B10" s="227" t="s">
        <v>803</v>
      </c>
      <c r="C10" s="245" t="s">
        <v>352</v>
      </c>
      <c r="D10" s="642" t="s">
        <v>353</v>
      </c>
      <c r="E10" s="245" t="s">
        <v>89</v>
      </c>
      <c r="F10" s="238" t="str">
        <f>IF(AND(E10=[3]calificación_impacto_corrupción!$B$2),[3]calificación_impacto_corrupción!$A$2,IF(AND(E10=[3]calificación_impacto_corrupción!$B$3),[3]calificación_impacto_corrupción!$A$3,IF(AND(E10=[3]calificación_impacto_corrupción!$B$4),[3]calificación_impacto_corrupción!$A$4,IF(AND(E10=[3]calificación_impacto_corrupción!$B$5),[3]calificación_impacto_corrupción!$A$5,IF(AND(E10=[3]calificación_impacto_corrupción!$B$6),[3]calificación_impacto_corrupción!$A$6,FALSE)))))</f>
        <v>Posible</v>
      </c>
      <c r="G10" s="238" t="str">
        <f>IF(AND(E10=[3]calificación_impacto_corrupción!$B$6),"20%",IF(AND(E10=[3]calificación_impacto_corrupción!$B$5),"40%",IF(AND(E10=[3]calificación_impacto_corrupción!$B$4),"60%",IF(AND(E10=[3]calificación_impacto_corrupción!$B$3),"80%",IF(AND(E10=[3]calificación_impacto_corrupción!$B$2),"100%",FALSE)))))</f>
        <v>60%</v>
      </c>
      <c r="H10" s="241" t="s">
        <v>65</v>
      </c>
      <c r="I10" s="238" t="str">
        <f>IF(AND(H10=[13]DESPLEGABLES!$A$19),"Leve",IF(AND(H10=[13]DESPLEGABLES!$A$20),"Menor",IF(AND(H10=[13]DESPLEGABLES!$A$21),"Moderado",IF(AND(H10=[13]DESPLEGABLES!$A$22),"Mayor",IF(AND(H10=[13]DESPLEGABLES!$A$23),"Catastrófico",IF(AND(H10=[13]DESPLEGABLES!$A$25),"Leve",IF(AND(H10=[13]DESPLEGABLES!$A$26),"Menor",IF(AND(H10=[13]DESPLEGABLES!$A$27),"Moderado",IF(AND(H10=[13]DESPLEGABLES!$A$28),"Mayor",IF(AND(H10=[13]DESPLEGABLES!$A$29),"Catastrófico",IF(AND(H10=[13]DESPLEGABLES!$A$31),"Moderado",IF(AND(H10=[13]DESPLEGABLES!$A$32),"Mayor",IF(AND(H10=[13]DESPLEGABLES!$A$33),"Catastrófico","")))))))))))))</f>
        <v>Catastrófico</v>
      </c>
      <c r="J10" s="238" t="str">
        <f>IF(AND(I10="Leve"),"20%",IF(AND(I10="Menor"),"40%",IF(AND(I10="Moderado"),"60%",IF(AND(I10="Mayor"),"80%",IF(AND(I10="Catastrófico"),"100%","")))))</f>
        <v>100%</v>
      </c>
      <c r="K10" s="238" t="str">
        <f>IF(AND(G10&lt;="40%",J10="20%"),"Bajo",IF(AND(G10="60%",J10="20%"),"Moderado",IF(AND(G10="80%",J10="20%"),"Moderado",IF(AND(G10="100%",J10="20%"),"Alto",IF(AND(G10="20%",J10="40%"),"Bajo",IF(AND(G10="40%",J10="40%"),"Moderado",IF(AND(G10="60%",J10="40%"),"Moderado",IF(AND(G10="80%",J10="40%"),"Moderado",IF(AND(G10="100%",J10="40%"),"Alto",IF(AND(G10="20%",J10="60%"),"Moderado",IF(AND(G10="40%",J10="60%"),"Moderado",IF(AND(G10="60%",J10="60%"),"Moderado",IF(AND(G10="80%",J10="60%"),"Alto",IF(AND(G10="100%",J10="60%"),"Alto",IF(AND(G10="20%",J10="80%"),"Alto",IF(AND(G10="40%",J10="80%"),"Alto",IF(AND(G10="60%",J10="80%"),"Alto",IF(AND(G10="80%",J10="80%"),"Alto",IF(AND(G10="100%",J10="80%"),"Alto",IF(AND(G10="20%",J10="100%"),"Extremo",IF(AND(G10="40%",J10="100%"),"Extremo",IF(AND(G10="60%",J10="100%"),"Extremo",IF(AND(G10="80%",J10="100%"),"Moderado",IF(AND(G10="100%",J10="100%"),"Extremo",""))))))))))))))))))))))))</f>
        <v>Extremo</v>
      </c>
      <c r="L10" s="119">
        <v>1</v>
      </c>
      <c r="M10" s="136" t="s">
        <v>800</v>
      </c>
      <c r="N10" s="125" t="s">
        <v>67</v>
      </c>
      <c r="O10" s="180">
        <f>IF(N10="Asignado",15,IF(N10="NO asignado",0))</f>
        <v>15</v>
      </c>
      <c r="P10" s="120" t="s">
        <v>68</v>
      </c>
      <c r="Q10" s="180">
        <f>IF(P10="Adecuado",15,IF(P10="Inadecuado",0))</f>
        <v>15</v>
      </c>
      <c r="R10" s="120" t="s">
        <v>69</v>
      </c>
      <c r="S10" s="180">
        <f>IF(R10="Oportuna",15,IF(R10="Inoportuna",0))</f>
        <v>15</v>
      </c>
      <c r="T10" s="120" t="s">
        <v>70</v>
      </c>
      <c r="U10" s="180">
        <f>IF(T10="Prevenir",15,IF(T10="Detectar",10,IF(T10="No es un control",0)))</f>
        <v>15</v>
      </c>
      <c r="V10" s="120" t="s">
        <v>71</v>
      </c>
      <c r="W10" s="180">
        <f>IF(V10="Confiable",15,IF(V10="No confiable",0))</f>
        <v>15</v>
      </c>
      <c r="X10" s="120" t="s">
        <v>72</v>
      </c>
      <c r="Y10" s="180">
        <f>IF(X10="Se investigan oportunamente",15,IF(X10="No se investigan oportunamente",0))</f>
        <v>15</v>
      </c>
      <c r="Z10" s="120" t="s">
        <v>90</v>
      </c>
      <c r="AA10" s="180">
        <f>IF(Z10="Completa",10,IF(Z10="Incompleta",5,IF(Z10="No existe",0)))</f>
        <v>10</v>
      </c>
      <c r="AB10" s="184">
        <f>O10+Q10+S10+U10+W10+Y10+AA10</f>
        <v>100</v>
      </c>
      <c r="AC10" s="184" t="str">
        <f>IF(AB10&lt;86,"Débil",(IF(AB10&lt;96,"Moderado","Fuerte")))</f>
        <v>Fuerte</v>
      </c>
      <c r="AD10" s="184" t="s">
        <v>74</v>
      </c>
      <c r="AE10" s="184" t="str">
        <f>IF(OR(AND(AC10="Fuerte",AD10="Moderado"),AND(AC10="Moderado",AD10="Fuerte"),AND(AC10="Moderado",AD10="Moderado")),"Moderado",IF(OR(AND(AC10="Fuerte",AD10="Débil"),AND(AC10="Moderado",AD10="Débil"),AND(AC10="Débil")),"Débil",IF(AND(AC10="Fuerte",AD10="Fuerte"),"Fuerte")))</f>
        <v>Fuerte</v>
      </c>
      <c r="AF10" s="184" t="str">
        <f>IF(AE10="Fuerte","100",IF(AE10="Moderado","50",IF(AE10="Débil","0")))</f>
        <v>100</v>
      </c>
      <c r="AG10" s="240">
        <v>1</v>
      </c>
      <c r="AH10" s="240">
        <f>(AF10+AF11+AF12+AF13+AF14)/AG10</f>
        <v>100</v>
      </c>
      <c r="AI10" s="240" t="str">
        <f>IF(AH10&lt;50,"Débil",IF(AH10&lt;=99,"Moderado",IF(AH10=100,"Fuerte",IF(AH10="","ERROR"))))</f>
        <v>Fuerte</v>
      </c>
      <c r="AJ10" s="240" t="s">
        <v>75</v>
      </c>
      <c r="AK10" s="246">
        <f>IF(AI10="Débil",0,IF(AND(AI10="Moderado",AJ10="Directamente"),20%,IF(AND(AI10="Moderado",AJ10="No disminuye"),0,IF(AND(AI10="Fuerte",AJ10="Directamente"),40%,IF(AND(AI10="Fuerte",AJ10="No disminuye"),0)))))</f>
        <v>0.4</v>
      </c>
      <c r="AL10" s="236">
        <f>G10-AK10</f>
        <v>0.19999999999999996</v>
      </c>
      <c r="AM10" s="238" t="str">
        <f>IF(AL10=100%,"Casi Seguro",IF(AL10=80,"Probable",IF(AL10=60%,"Posible",IF(AL10=40%,"Improbable",IF(AL10=20%,"Rara Vez",IF(AL10=0,"Rara Vez",IF(AL10&lt;0,"Rara Vez")))))))</f>
        <v>Rara Vez</v>
      </c>
      <c r="AN10" s="247" t="s">
        <v>76</v>
      </c>
      <c r="AO10" s="235">
        <f>IF(AI10="Débil",0,IF(AND(AI10="Moderado",AN10="Directamente"),20%,IF(AND(AI10="Moderado",AN10="Indirectamente"),0,IF(AND(AI10="Moderado",AN10="No disminuye"),0,IF(AND(AI10="Fuerte",AN10="Directamente"),40%,IF(AND(AI10="Fuerte",AN10="Indirectamente"),20%,IF(AND(AI10="Fuerte",AN10="No disminuye"),0)))))))</f>
        <v>0.2</v>
      </c>
      <c r="AP10" s="236">
        <f>J10-AO10</f>
        <v>0.8</v>
      </c>
      <c r="AQ10" s="238" t="str">
        <f>IF(AP10=100%,"Catastrófico",IF(AP10=80%,"Mayor",IF(AP10=60%,"Moderado",IF(AP10&lt;=60%,"Moderado"))))</f>
        <v>Mayor</v>
      </c>
      <c r="AR10" s="240" t="str">
        <f>IF(OR(AND(AQ10="Moderado",AM10="Rara Vez"),AND(AQ10="Moderado",AM10="Improbable")),"Moderado",IF(OR(AND(AQ10="Mayor",AM10="Improbable"),AND(AQ10="Mayor",AM10="Rara Vez"),AND(AQ10="Moderado",AM10="Probable"),AND(AQ10="Moderado",AM10="Posible")),"Alto",IF(OR(AND(AQ10="Moderado",AM10="Casi Seguro"),AND(AQ10="Mayor",AM10="Posible"),AND(AQ10="Mayor",AM10="Probable"),AND(AQ10="Mayor",AM10="Casi Seguro")),"Extremo",IF(AQ10="Catastrófico","Extremo"))))</f>
        <v>Alto</v>
      </c>
      <c r="AS10" s="249" t="s">
        <v>77</v>
      </c>
      <c r="AT10" s="122" t="s">
        <v>801</v>
      </c>
      <c r="AU10" s="124" t="s">
        <v>802</v>
      </c>
      <c r="AV10" s="123">
        <v>44927</v>
      </c>
      <c r="AW10" s="123"/>
      <c r="AX10" s="124"/>
      <c r="AY10" s="121"/>
      <c r="AZ10" s="233" t="s">
        <v>354</v>
      </c>
      <c r="BA10" s="233" t="s">
        <v>355</v>
      </c>
    </row>
    <row r="11" spans="1:53" s="86" customFormat="1" ht="24" customHeight="1" x14ac:dyDescent="0.25">
      <c r="A11" s="638"/>
      <c r="B11" s="227"/>
      <c r="C11" s="245"/>
      <c r="D11" s="643"/>
      <c r="E11" s="245"/>
      <c r="F11" s="238"/>
      <c r="G11" s="238"/>
      <c r="H11" s="241"/>
      <c r="I11" s="238"/>
      <c r="J11" s="238"/>
      <c r="K11" s="238"/>
      <c r="L11" s="119">
        <v>2</v>
      </c>
      <c r="M11" s="639"/>
      <c r="N11" s="125"/>
      <c r="O11" s="180" t="b">
        <f t="shared" ref="O11:O14" si="11">IF(N11="Asignado",15,IF(N11="NO asignado",0))</f>
        <v>0</v>
      </c>
      <c r="P11" s="120"/>
      <c r="Q11" s="180" t="b">
        <f t="shared" ref="Q11:Q14" si="12">IF(P11="Adecuado",15,IF(P11="Inadecuado",0))</f>
        <v>0</v>
      </c>
      <c r="R11" s="120"/>
      <c r="S11" s="180" t="b">
        <f t="shared" ref="S11:S14" si="13">IF(R11="Oportuna",15,IF(R11="Inoportuna",0))</f>
        <v>0</v>
      </c>
      <c r="T11" s="120"/>
      <c r="U11" s="180" t="b">
        <f t="shared" ref="U11:U14" si="14">IF(T11="Prevenir",15,IF(T11="Detectar",10,IF(T11="No es un control",0)))</f>
        <v>0</v>
      </c>
      <c r="V11" s="120"/>
      <c r="W11" s="180" t="b">
        <f t="shared" ref="W11:W14" si="15">IF(V11="Confiable",15,IF(V11="No confiable",0))</f>
        <v>0</v>
      </c>
      <c r="X11" s="120"/>
      <c r="Y11" s="180" t="b">
        <f t="shared" ref="Y11:Y14" si="16">IF(X11="Se investigan oportunamente",15,IF(X11="No se investigan oportunamente",0))</f>
        <v>0</v>
      </c>
      <c r="Z11" s="120"/>
      <c r="AA11" s="180" t="b">
        <f t="shared" ref="AA11:AA14" si="17">IF(Z11="Completa",10,IF(Z11="Incompleta",5,IF(Z11="No existe",0)))</f>
        <v>0</v>
      </c>
      <c r="AB11" s="184">
        <f t="shared" ref="AB11:AB14" si="18">O11+Q11+S11+U11+W11+Y11+AA11</f>
        <v>0</v>
      </c>
      <c r="AC11" s="184" t="str">
        <f t="shared" ref="AC11:AC14" si="19">IF(AB11&lt;86,"Débil",(IF(AB11&lt;96,"Moderado","Fuerte")))</f>
        <v>Débil</v>
      </c>
      <c r="AD11" s="184"/>
      <c r="AE11" s="184" t="str">
        <f t="shared" ref="AE11:AE14" si="20">IF(OR(AND(AC11="Fuerte",AD11="Moderado"),AND(AC11="Moderado",AD11="Fuerte"),AND(AC11="Moderado",AD11="Moderado")),"Moderado",IF(OR(AND(AC11="Fuerte",AD11="Débil"),AND(AC11="Moderado",AD11="Débil"),AND(AC11="Débil")),"Débil",IF(AND(AC11="Fuerte",AD11="Fuerte"),"Fuerte")))</f>
        <v>Débil</v>
      </c>
      <c r="AF11" s="184" t="str">
        <f t="shared" ref="AF11:AF14" si="21">IF(AE11="Fuerte","100",IF(AE11="Moderado","50",IF(AE11="Débil","0")))</f>
        <v>0</v>
      </c>
      <c r="AG11" s="240"/>
      <c r="AH11" s="240"/>
      <c r="AI11" s="240"/>
      <c r="AJ11" s="240"/>
      <c r="AK11" s="246"/>
      <c r="AL11" s="237"/>
      <c r="AM11" s="238"/>
      <c r="AN11" s="247"/>
      <c r="AO11" s="235"/>
      <c r="AP11" s="237"/>
      <c r="AQ11" s="238"/>
      <c r="AR11" s="240"/>
      <c r="AS11" s="249"/>
      <c r="AT11" s="122"/>
      <c r="AU11" s="121"/>
      <c r="AV11" s="123"/>
      <c r="AW11" s="123"/>
      <c r="AX11" s="124"/>
      <c r="AY11" s="121"/>
      <c r="AZ11" s="234"/>
      <c r="BA11" s="234"/>
    </row>
    <row r="12" spans="1:53" s="86" customFormat="1" ht="24" customHeight="1" x14ac:dyDescent="0.25">
      <c r="A12" s="638"/>
      <c r="B12" s="227"/>
      <c r="C12" s="245"/>
      <c r="D12" s="643"/>
      <c r="E12" s="245"/>
      <c r="F12" s="238"/>
      <c r="G12" s="238"/>
      <c r="H12" s="241"/>
      <c r="I12" s="238"/>
      <c r="J12" s="238"/>
      <c r="K12" s="238"/>
      <c r="L12" s="119">
        <v>3</v>
      </c>
      <c r="M12" s="133"/>
      <c r="N12" s="125"/>
      <c r="O12" s="180" t="b">
        <f t="shared" si="11"/>
        <v>0</v>
      </c>
      <c r="P12" s="120"/>
      <c r="Q12" s="180" t="b">
        <f t="shared" si="12"/>
        <v>0</v>
      </c>
      <c r="R12" s="120"/>
      <c r="S12" s="180" t="b">
        <f t="shared" si="13"/>
        <v>0</v>
      </c>
      <c r="T12" s="120"/>
      <c r="U12" s="180" t="b">
        <f t="shared" si="14"/>
        <v>0</v>
      </c>
      <c r="V12" s="120"/>
      <c r="W12" s="180" t="b">
        <f t="shared" si="15"/>
        <v>0</v>
      </c>
      <c r="X12" s="120"/>
      <c r="Y12" s="180" t="b">
        <f t="shared" si="16"/>
        <v>0</v>
      </c>
      <c r="Z12" s="120"/>
      <c r="AA12" s="180" t="b">
        <f t="shared" si="17"/>
        <v>0</v>
      </c>
      <c r="AB12" s="184">
        <f t="shared" si="18"/>
        <v>0</v>
      </c>
      <c r="AC12" s="184" t="str">
        <f t="shared" si="19"/>
        <v>Débil</v>
      </c>
      <c r="AD12" s="184"/>
      <c r="AE12" s="184" t="str">
        <f t="shared" si="20"/>
        <v>Débil</v>
      </c>
      <c r="AF12" s="184" t="str">
        <f t="shared" si="21"/>
        <v>0</v>
      </c>
      <c r="AG12" s="240"/>
      <c r="AH12" s="240"/>
      <c r="AI12" s="240"/>
      <c r="AJ12" s="240"/>
      <c r="AK12" s="246"/>
      <c r="AL12" s="237"/>
      <c r="AM12" s="238"/>
      <c r="AN12" s="247"/>
      <c r="AO12" s="235"/>
      <c r="AP12" s="237"/>
      <c r="AQ12" s="238"/>
      <c r="AR12" s="240"/>
      <c r="AS12" s="249"/>
      <c r="AT12" s="122"/>
      <c r="AU12" s="121"/>
      <c r="AV12" s="123"/>
      <c r="AW12" s="123"/>
      <c r="AX12" s="124"/>
      <c r="AY12" s="121"/>
      <c r="AZ12" s="234"/>
      <c r="BA12" s="234"/>
    </row>
    <row r="13" spans="1:53" s="86" customFormat="1" ht="24" customHeight="1" x14ac:dyDescent="0.25">
      <c r="A13" s="638"/>
      <c r="B13" s="227"/>
      <c r="C13" s="245"/>
      <c r="D13" s="643"/>
      <c r="E13" s="245"/>
      <c r="F13" s="238"/>
      <c r="G13" s="238"/>
      <c r="H13" s="241"/>
      <c r="I13" s="238"/>
      <c r="J13" s="238"/>
      <c r="K13" s="238"/>
      <c r="L13" s="119">
        <v>4</v>
      </c>
      <c r="M13" s="133"/>
      <c r="N13" s="125"/>
      <c r="O13" s="180" t="b">
        <f t="shared" si="11"/>
        <v>0</v>
      </c>
      <c r="P13" s="120"/>
      <c r="Q13" s="180" t="b">
        <f t="shared" si="12"/>
        <v>0</v>
      </c>
      <c r="R13" s="120"/>
      <c r="S13" s="180" t="b">
        <f t="shared" si="13"/>
        <v>0</v>
      </c>
      <c r="T13" s="120"/>
      <c r="U13" s="180" t="b">
        <f t="shared" si="14"/>
        <v>0</v>
      </c>
      <c r="V13" s="120"/>
      <c r="W13" s="180" t="b">
        <f t="shared" si="15"/>
        <v>0</v>
      </c>
      <c r="X13" s="120"/>
      <c r="Y13" s="180" t="b">
        <f t="shared" si="16"/>
        <v>0</v>
      </c>
      <c r="Z13" s="120"/>
      <c r="AA13" s="180" t="b">
        <f t="shared" si="17"/>
        <v>0</v>
      </c>
      <c r="AB13" s="184">
        <f t="shared" si="18"/>
        <v>0</v>
      </c>
      <c r="AC13" s="184" t="str">
        <f t="shared" si="19"/>
        <v>Débil</v>
      </c>
      <c r="AD13" s="184"/>
      <c r="AE13" s="184" t="str">
        <f t="shared" si="20"/>
        <v>Débil</v>
      </c>
      <c r="AF13" s="184" t="str">
        <f t="shared" si="21"/>
        <v>0</v>
      </c>
      <c r="AG13" s="240"/>
      <c r="AH13" s="240"/>
      <c r="AI13" s="240"/>
      <c r="AJ13" s="240"/>
      <c r="AK13" s="246"/>
      <c r="AL13" s="237"/>
      <c r="AM13" s="238"/>
      <c r="AN13" s="247"/>
      <c r="AO13" s="235"/>
      <c r="AP13" s="237"/>
      <c r="AQ13" s="238"/>
      <c r="AR13" s="240"/>
      <c r="AS13" s="249"/>
      <c r="AT13" s="122"/>
      <c r="AU13" s="121"/>
      <c r="AV13" s="123"/>
      <c r="AW13" s="123"/>
      <c r="AX13" s="124"/>
      <c r="AY13" s="121"/>
      <c r="AZ13" s="234"/>
      <c r="BA13" s="234"/>
    </row>
    <row r="14" spans="1:53" s="86" customFormat="1" ht="24" customHeight="1" x14ac:dyDescent="0.25">
      <c r="A14" s="638"/>
      <c r="B14" s="227"/>
      <c r="C14" s="245"/>
      <c r="D14" s="644"/>
      <c r="E14" s="245"/>
      <c r="F14" s="238"/>
      <c r="G14" s="238"/>
      <c r="H14" s="241"/>
      <c r="I14" s="238"/>
      <c r="J14" s="238"/>
      <c r="K14" s="238"/>
      <c r="L14" s="119">
        <v>5</v>
      </c>
      <c r="M14" s="133"/>
      <c r="N14" s="125"/>
      <c r="O14" s="180" t="b">
        <f t="shared" si="11"/>
        <v>0</v>
      </c>
      <c r="P14" s="120"/>
      <c r="Q14" s="180" t="b">
        <f t="shared" si="12"/>
        <v>0</v>
      </c>
      <c r="R14" s="120"/>
      <c r="S14" s="180" t="b">
        <f t="shared" si="13"/>
        <v>0</v>
      </c>
      <c r="T14" s="120"/>
      <c r="U14" s="180" t="b">
        <f t="shared" si="14"/>
        <v>0</v>
      </c>
      <c r="V14" s="120"/>
      <c r="W14" s="180" t="b">
        <f t="shared" si="15"/>
        <v>0</v>
      </c>
      <c r="X14" s="120"/>
      <c r="Y14" s="180" t="b">
        <f t="shared" si="16"/>
        <v>0</v>
      </c>
      <c r="Z14" s="120"/>
      <c r="AA14" s="180" t="b">
        <f t="shared" si="17"/>
        <v>0</v>
      </c>
      <c r="AB14" s="184">
        <f t="shared" si="18"/>
        <v>0</v>
      </c>
      <c r="AC14" s="184" t="str">
        <f t="shared" si="19"/>
        <v>Débil</v>
      </c>
      <c r="AD14" s="184"/>
      <c r="AE14" s="184" t="str">
        <f t="shared" si="20"/>
        <v>Débil</v>
      </c>
      <c r="AF14" s="184" t="str">
        <f t="shared" si="21"/>
        <v>0</v>
      </c>
      <c r="AG14" s="240"/>
      <c r="AH14" s="240"/>
      <c r="AI14" s="240"/>
      <c r="AJ14" s="240"/>
      <c r="AK14" s="246"/>
      <c r="AL14" s="237"/>
      <c r="AM14" s="238"/>
      <c r="AN14" s="247"/>
      <c r="AO14" s="235"/>
      <c r="AP14" s="237"/>
      <c r="AQ14" s="238"/>
      <c r="AR14" s="240"/>
      <c r="AS14" s="249"/>
      <c r="AT14" s="122"/>
      <c r="AU14" s="121"/>
      <c r="AV14" s="123"/>
      <c r="AW14" s="123"/>
      <c r="AX14" s="124"/>
      <c r="AY14" s="121"/>
      <c r="AZ14" s="234"/>
      <c r="BA14" s="234"/>
    </row>
    <row r="15" spans="1:53" s="86" customFormat="1" ht="24" customHeight="1" x14ac:dyDescent="0.2">
      <c r="A15" s="244" t="s">
        <v>341</v>
      </c>
      <c r="B15" s="227" t="s">
        <v>308</v>
      </c>
      <c r="C15" s="227" t="s">
        <v>342</v>
      </c>
      <c r="D15" s="251" t="s">
        <v>343</v>
      </c>
      <c r="E15" s="227" t="s">
        <v>64</v>
      </c>
      <c r="F15" s="229" t="str">
        <f>IF(AND(E15=[18]calificación_impacto_corrupción!$B$2),[18]calificación_impacto_corrupción!$A$2,IF(AND(E15=[18]calificación_impacto_corrupción!$B$3),[18]calificación_impacto_corrupción!$A$3,IF(AND(E15=[18]calificación_impacto_corrupción!$B$4),[18]calificación_impacto_corrupción!$A$4,IF(AND(E15=[18]calificación_impacto_corrupción!$B$5),[18]calificación_impacto_corrupción!$A$5,IF(AND(E15=[18]calificación_impacto_corrupción!$B$6),[18]calificación_impacto_corrupción!$A$6,FALSE)))))</f>
        <v>Rara vez</v>
      </c>
      <c r="G15" s="229" t="str">
        <f>IF(AND(E15=[18]calificación_impacto_corrupción!$B$6),"20%",IF(AND(E15=[18]calificación_impacto_corrupción!$B$5),"40%",IF(AND(E15=[18]calificación_impacto_corrupción!$B$4),"60%",IF(AND(E15=[18]calificación_impacto_corrupción!$B$3),"80%",IF(AND(E15=[18]calificación_impacto_corrupción!$B$2),"100%",FALSE)))))</f>
        <v>20%</v>
      </c>
      <c r="H15" s="228" t="s">
        <v>65</v>
      </c>
      <c r="I15" s="229" t="str">
        <f>IF(AND(H15=[13]DESPLEGABLES!$A$19),"Leve",IF(AND(H15=[13]DESPLEGABLES!$A$20),"Menor",IF(AND(H15=[13]DESPLEGABLES!$A$21),"Moderado",IF(AND(H15=[13]DESPLEGABLES!$A$22),"Mayor",IF(AND(H15=[13]DESPLEGABLES!$A$23),"Catastrófico",IF(AND(H15=[13]DESPLEGABLES!$A$25),"Leve",IF(AND(H15=[13]DESPLEGABLES!$A$26),"Menor",IF(AND(H15=[13]DESPLEGABLES!$A$27),"Moderado",IF(AND(H15=[13]DESPLEGABLES!$A$28),"Mayor",IF(AND(H15=[13]DESPLEGABLES!$A$29),"Catastrófico",IF(AND(H15=[13]DESPLEGABLES!$A$31),"Moderado",IF(AND(H15=[13]DESPLEGABLES!$A$32),"Mayor",IF(AND(H15=[13]DESPLEGABLES!$A$33),"Catastrófico","")))))))))))))</f>
        <v>Catastrófico</v>
      </c>
      <c r="J15" s="229" t="str">
        <f>IF(AND(I15="Leve"),"20%",IF(AND(I15="Menor"),"40%",IF(AND(I15="Moderado"),"60%",IF(AND(I15="Mayor"),"80%",IF(AND(I15="Catastrófico"),"100%","")))))</f>
        <v>100%</v>
      </c>
      <c r="K15" s="229" t="str">
        <f>IF(AND(G15&lt;="40%",J15="20%"),"Bajo",IF(AND(G15="60%",J15="20%"),"Moderado",IF(AND(G15="80%",J15="20%"),"Moderado",IF(AND(G15="100%",J15="20%"),"Alto",IF(AND(G15="20%",J15="40%"),"Bajo",IF(AND(G15="40%",J15="40%"),"Moderado",IF(AND(G15="60%",J15="40%"),"Moderado",IF(AND(G15="80%",J15="40%"),"Moderado",IF(AND(G15="100%",J15="40%"),"Alto",IF(AND(G15="20%",J15="60%"),"Moderado",IF(AND(G15="40%",J15="60%"),"Moderado",IF(AND(G15="60%",J15="60%"),"Moderado",IF(AND(G15="80%",J15="60%"),"Alto",IF(AND(G15="100%",J15="60%"),"Alto",IF(AND(G15="20%",J15="80%"),"Alto",IF(AND(G15="40%",J15="80%"),"Alto",IF(AND(G15="60%",J15="80%"),"Alto",IF(AND(G15="80%",J15="80%"),"Alto",IF(AND(G15="100%",J15="80%"),"Alto",IF(AND(G15="20%",J15="100%"),"Extremo",IF(AND(G15="40%",J15="100%"),"Extremo",IF(AND(G15="60%",J15="100%"),"Extremo",IF(AND(G15="80%",J15="100%"),"Moderado",IF(AND(G15="100%",J15="100%"),"Extremo",""))))))))))))))))))))))))</f>
        <v>Extremo</v>
      </c>
      <c r="L15" s="187">
        <v>1</v>
      </c>
      <c r="M15" s="145" t="s">
        <v>344</v>
      </c>
      <c r="N15" s="115" t="s">
        <v>67</v>
      </c>
      <c r="O15" s="175">
        <f>IF(N15="Asignado",15,IF(N15="NO asignado",0))</f>
        <v>15</v>
      </c>
      <c r="P15" s="116" t="s">
        <v>68</v>
      </c>
      <c r="Q15" s="175">
        <f>IF(P15="Adecuado",15,IF(P15="Inadecuado",0))</f>
        <v>15</v>
      </c>
      <c r="R15" s="116" t="s">
        <v>69</v>
      </c>
      <c r="S15" s="175">
        <f>IF(R15="Oportuna",15,IF(R15="Inoportuna",0))</f>
        <v>15</v>
      </c>
      <c r="T15" s="116" t="s">
        <v>70</v>
      </c>
      <c r="U15" s="175">
        <f>IF(T15="Prevenir",15,IF(T15="Detectar",10,IF(T15="No es un control",0)))</f>
        <v>15</v>
      </c>
      <c r="V15" s="116" t="s">
        <v>71</v>
      </c>
      <c r="W15" s="175">
        <f>IF(V15="Confiable",15,IF(V15="No confiable",0))</f>
        <v>15</v>
      </c>
      <c r="X15" s="116" t="s">
        <v>72</v>
      </c>
      <c r="Y15" s="175">
        <f>IF(X15="Se investigan oportunamente",15,IF(X15="No se investigan oportunamente",0))</f>
        <v>15</v>
      </c>
      <c r="Z15" s="116" t="s">
        <v>90</v>
      </c>
      <c r="AA15" s="175">
        <f>IF(Z15="Completa",10,IF(Z15="Incompleta",5,IF(Z15="No existe",0)))</f>
        <v>10</v>
      </c>
      <c r="AB15" s="185">
        <f>O15+Q15+S15+U15+W15+Y15+AA15</f>
        <v>100</v>
      </c>
      <c r="AC15" s="185" t="str">
        <f>IF(AB15&lt;86,"Débil",(IF(AB15&lt;96,"Moderado","Fuerte")))</f>
        <v>Fuerte</v>
      </c>
      <c r="AD15" s="185" t="s">
        <v>74</v>
      </c>
      <c r="AE15" s="185" t="str">
        <f>IF(OR(AND(AC15="Fuerte",AD15="Moderado"),AND(AC15="Moderado",AD15="Fuerte"),AND(AC15="Moderado",AD15="Moderado")),"Moderado",IF(OR(AND(AC15="Fuerte",AD15="Débil"),AND(AC15="Moderado",AD15="Débil"),AND(AC15="Débil")),"Débil",IF(AND(AC15="Fuerte",AD15="Fuerte"),"Fuerte")))</f>
        <v>Fuerte</v>
      </c>
      <c r="AF15" s="185" t="str">
        <f>IF(AE15="Fuerte","100",IF(AE15="Moderado","50",IF(AE15="Débil","0")))</f>
        <v>100</v>
      </c>
      <c r="AG15" s="232">
        <v>1</v>
      </c>
      <c r="AH15" s="232">
        <f>(AF15+AF16+AF17+AF18+AF19)/AG15</f>
        <v>100</v>
      </c>
      <c r="AI15" s="232" t="str">
        <f>IF(AH15&lt;50,"Débil",IF(AH15&lt;=99,"Moderado",IF(AH15=100,"Fuerte",IF(AH15="","ERROR"))))</f>
        <v>Fuerte</v>
      </c>
      <c r="AJ15" s="232" t="s">
        <v>75</v>
      </c>
      <c r="AK15" s="239">
        <f>IF(AI15="Débil",0,IF(AND(AI15="Moderado",AJ15="Directamente"),20%,IF(AND(AI15="Moderado",AJ15="No disminuye"),0,IF(AND(AI15="Fuerte",AJ15="Directamente"),40%,IF(AND(AI15="Fuerte",AJ15="No disminuye"),0)))))</f>
        <v>0.4</v>
      </c>
      <c r="AL15" s="230">
        <f>AK15-G15</f>
        <v>0.2</v>
      </c>
      <c r="AM15" s="229" t="str">
        <f>IF(AL15=100%,"Casi Seguro",IF(AL15=80,"Probable",IF(AL15=60%,"Posible",IF(AL15=40%,"Improbable",IF(AL15=20%,"Rara Vez",IF(AL15=0,"Rara Vez",IF(AL15&lt;0,"Rara Vez")))))))</f>
        <v>Rara Vez</v>
      </c>
      <c r="AN15" s="243" t="s">
        <v>96</v>
      </c>
      <c r="AO15" s="242">
        <f>IF(AI15="Débil",0,IF(AND(AI15="Moderado",AN15="Directamente"),20%,IF(AND(AI15="Moderado",AN15="Indirectamente"),0,IF(AND(AI15="Moderado",AN15="No disminuye"),0,IF(AND(AI15="Fuerte",AN15="Directamente"),40%,IF(AND(AI15="Fuerte",AN15="Indirectamente"),20%,IF(AND(AI15="Fuerte",AN15="No disminuye"),0)))))))</f>
        <v>0</v>
      </c>
      <c r="AP15" s="230">
        <f>J15-AO15</f>
        <v>1</v>
      </c>
      <c r="AQ15" s="229" t="str">
        <f>IF(AP15=100%,"Catastrófico",IF(AP15=80%,"Mayor",IF(AP15=60%,"Moderado",IF(AP15&lt;=60%,"Moderado"))))</f>
        <v>Catastrófico</v>
      </c>
      <c r="AR15" s="232" t="str">
        <f>IF(OR(AND(AQ15="Moderado",AM15="Rara Vez"),AND(AQ15="Moderado",AM15="Improbable")),"Moderado",IF(OR(AND(AQ15="Mayor",AM15="Improbable"),AND(AQ15="Mayor",AM15="Rara Vez"),AND(AQ15="Moderado",AM15="Probable"),AND(AQ15="Moderado",AM15="Posible")),"Alto",IF(OR(AND(AQ15="Moderado",AM15="Casi Seguro"),AND(AQ15="Mayor",AM15="Posible"),AND(AQ15="Mayor",AM15="Probable"),AND(AQ15="Mayor",AM15="Casi Seguro")),"Extremo",IF(AQ15="Catastrófico","Extremo"))))</f>
        <v>Extremo</v>
      </c>
      <c r="AS15" s="248" t="s">
        <v>77</v>
      </c>
      <c r="AT15" s="186"/>
      <c r="AU15" s="186"/>
      <c r="AV15" s="117"/>
      <c r="AW15" s="117"/>
      <c r="AX15" s="118"/>
      <c r="AY15" s="187"/>
      <c r="AZ15" s="227"/>
      <c r="BA15" s="227" t="s">
        <v>93</v>
      </c>
    </row>
    <row r="16" spans="1:53" s="86" customFormat="1" ht="24" customHeight="1" x14ac:dyDescent="0.25">
      <c r="A16" s="244"/>
      <c r="B16" s="227"/>
      <c r="C16" s="227"/>
      <c r="D16" s="251"/>
      <c r="E16" s="227"/>
      <c r="F16" s="229"/>
      <c r="G16" s="229"/>
      <c r="H16" s="228"/>
      <c r="I16" s="229"/>
      <c r="J16" s="229"/>
      <c r="K16" s="229"/>
      <c r="L16" s="187">
        <v>2</v>
      </c>
      <c r="M16" s="135"/>
      <c r="N16" s="115"/>
      <c r="O16" s="175" t="b">
        <f t="shared" ref="O16:O19" si="22">IF(N16="Asignado",15,IF(N16="NO asignado",0))</f>
        <v>0</v>
      </c>
      <c r="P16" s="116"/>
      <c r="Q16" s="175" t="b">
        <f t="shared" ref="Q16:Q19" si="23">IF(P16="Adecuado",15,IF(P16="Inadecuado",0))</f>
        <v>0</v>
      </c>
      <c r="R16" s="116"/>
      <c r="S16" s="175" t="b">
        <f t="shared" ref="S16:S19" si="24">IF(R16="Oportuna",15,IF(R16="Inoportuna",0))</f>
        <v>0</v>
      </c>
      <c r="T16" s="116"/>
      <c r="U16" s="175" t="b">
        <f t="shared" ref="U16:U19" si="25">IF(T16="Prevenir",15,IF(T16="Detectar",10,IF(T16="No es un control",0)))</f>
        <v>0</v>
      </c>
      <c r="V16" s="116"/>
      <c r="W16" s="175" t="b">
        <f t="shared" ref="W16:W19" si="26">IF(V16="Confiable",15,IF(V16="No confiable",0))</f>
        <v>0</v>
      </c>
      <c r="X16" s="116"/>
      <c r="Y16" s="175" t="b">
        <f t="shared" ref="Y16:Y19" si="27">IF(X16="Se investigan oportunamente",15,IF(X16="No se investigan oportunamente",0))</f>
        <v>0</v>
      </c>
      <c r="Z16" s="116"/>
      <c r="AA16" s="175" t="b">
        <f t="shared" ref="AA16:AA19" si="28">IF(Z16="Completa",10,IF(Z16="Incompleta",5,IF(Z16="No existe",0)))</f>
        <v>0</v>
      </c>
      <c r="AB16" s="185">
        <f t="shared" ref="AB16:AB19" si="29">O16+Q16+S16+U16+W16+Y16+AA16</f>
        <v>0</v>
      </c>
      <c r="AC16" s="185" t="str">
        <f t="shared" ref="AC16:AC19" si="30">IF(AB16&lt;86,"Débil",(IF(AB16&lt;96,"Moderado","Fuerte")))</f>
        <v>Débil</v>
      </c>
      <c r="AD16" s="185"/>
      <c r="AE16" s="185" t="str">
        <f t="shared" ref="AE16:AE19" si="31">IF(OR(AND(AC16="Fuerte",AD16="Moderado"),AND(AC16="Moderado",AD16="Fuerte"),AND(AC16="Moderado",AD16="Moderado")),"Moderado",IF(OR(AND(AC16="Fuerte",AD16="Débil"),AND(AC16="Moderado",AD16="Débil"),AND(AC16="Débil")),"Débil",IF(AND(AC16="Fuerte",AD16="Fuerte"),"Fuerte")))</f>
        <v>Débil</v>
      </c>
      <c r="AF16" s="185" t="str">
        <f t="shared" ref="AF16:AF19" si="32">IF(AE16="Fuerte","100",IF(AE16="Moderado","50",IF(AE16="Débil","0")))</f>
        <v>0</v>
      </c>
      <c r="AG16" s="232"/>
      <c r="AH16" s="232"/>
      <c r="AI16" s="232"/>
      <c r="AJ16" s="232"/>
      <c r="AK16" s="239"/>
      <c r="AL16" s="231"/>
      <c r="AM16" s="229"/>
      <c r="AN16" s="243"/>
      <c r="AO16" s="242"/>
      <c r="AP16" s="231"/>
      <c r="AQ16" s="229"/>
      <c r="AR16" s="232"/>
      <c r="AS16" s="248"/>
      <c r="AT16" s="186"/>
      <c r="AU16" s="187"/>
      <c r="AV16" s="117"/>
      <c r="AW16" s="117"/>
      <c r="AX16" s="186"/>
      <c r="AY16" s="187"/>
      <c r="AZ16" s="227"/>
      <c r="BA16" s="227"/>
    </row>
    <row r="17" spans="1:53" s="86" customFormat="1" ht="24" customHeight="1" x14ac:dyDescent="0.25">
      <c r="A17" s="244"/>
      <c r="B17" s="227"/>
      <c r="C17" s="227"/>
      <c r="D17" s="251"/>
      <c r="E17" s="227"/>
      <c r="F17" s="229"/>
      <c r="G17" s="229"/>
      <c r="H17" s="228"/>
      <c r="I17" s="229"/>
      <c r="J17" s="229"/>
      <c r="K17" s="229"/>
      <c r="L17" s="187">
        <v>3</v>
      </c>
      <c r="M17" s="134"/>
      <c r="N17" s="115"/>
      <c r="O17" s="175" t="b">
        <f t="shared" si="22"/>
        <v>0</v>
      </c>
      <c r="P17" s="116"/>
      <c r="Q17" s="175" t="b">
        <f t="shared" si="23"/>
        <v>0</v>
      </c>
      <c r="R17" s="116"/>
      <c r="S17" s="175" t="b">
        <f t="shared" si="24"/>
        <v>0</v>
      </c>
      <c r="T17" s="116"/>
      <c r="U17" s="175" t="b">
        <f t="shared" si="25"/>
        <v>0</v>
      </c>
      <c r="V17" s="116"/>
      <c r="W17" s="175" t="b">
        <f t="shared" si="26"/>
        <v>0</v>
      </c>
      <c r="X17" s="116"/>
      <c r="Y17" s="175" t="b">
        <f t="shared" si="27"/>
        <v>0</v>
      </c>
      <c r="Z17" s="116"/>
      <c r="AA17" s="175" t="b">
        <f t="shared" si="28"/>
        <v>0</v>
      </c>
      <c r="AB17" s="185">
        <f t="shared" si="29"/>
        <v>0</v>
      </c>
      <c r="AC17" s="185" t="str">
        <f t="shared" si="30"/>
        <v>Débil</v>
      </c>
      <c r="AD17" s="185"/>
      <c r="AE17" s="185" t="str">
        <f t="shared" si="31"/>
        <v>Débil</v>
      </c>
      <c r="AF17" s="185" t="str">
        <f t="shared" si="32"/>
        <v>0</v>
      </c>
      <c r="AG17" s="232"/>
      <c r="AH17" s="232"/>
      <c r="AI17" s="232"/>
      <c r="AJ17" s="232"/>
      <c r="AK17" s="239"/>
      <c r="AL17" s="231"/>
      <c r="AM17" s="229"/>
      <c r="AN17" s="243"/>
      <c r="AO17" s="242"/>
      <c r="AP17" s="231"/>
      <c r="AQ17" s="229"/>
      <c r="AR17" s="232"/>
      <c r="AS17" s="248"/>
      <c r="AT17" s="186"/>
      <c r="AU17" s="187"/>
      <c r="AV17" s="117"/>
      <c r="AW17" s="117"/>
      <c r="AX17" s="186"/>
      <c r="AY17" s="187"/>
      <c r="AZ17" s="227"/>
      <c r="BA17" s="227"/>
    </row>
    <row r="18" spans="1:53" s="86" customFormat="1" ht="24" customHeight="1" x14ac:dyDescent="0.25">
      <c r="A18" s="244"/>
      <c r="B18" s="227"/>
      <c r="C18" s="227"/>
      <c r="D18" s="251"/>
      <c r="E18" s="227"/>
      <c r="F18" s="229"/>
      <c r="G18" s="229"/>
      <c r="H18" s="228"/>
      <c r="I18" s="229"/>
      <c r="J18" s="229"/>
      <c r="K18" s="229"/>
      <c r="L18" s="187">
        <v>4</v>
      </c>
      <c r="M18" s="134"/>
      <c r="N18" s="115"/>
      <c r="O18" s="175" t="b">
        <f t="shared" si="22"/>
        <v>0</v>
      </c>
      <c r="P18" s="116"/>
      <c r="Q18" s="175" t="b">
        <f t="shared" si="23"/>
        <v>0</v>
      </c>
      <c r="R18" s="116"/>
      <c r="S18" s="175" t="b">
        <f t="shared" si="24"/>
        <v>0</v>
      </c>
      <c r="T18" s="116"/>
      <c r="U18" s="175" t="b">
        <f t="shared" si="25"/>
        <v>0</v>
      </c>
      <c r="V18" s="116"/>
      <c r="W18" s="175" t="b">
        <f t="shared" si="26"/>
        <v>0</v>
      </c>
      <c r="X18" s="116"/>
      <c r="Y18" s="175" t="b">
        <f t="shared" si="27"/>
        <v>0</v>
      </c>
      <c r="Z18" s="116"/>
      <c r="AA18" s="175" t="b">
        <f t="shared" si="28"/>
        <v>0</v>
      </c>
      <c r="AB18" s="185">
        <f t="shared" si="29"/>
        <v>0</v>
      </c>
      <c r="AC18" s="185" t="str">
        <f t="shared" si="30"/>
        <v>Débil</v>
      </c>
      <c r="AD18" s="185"/>
      <c r="AE18" s="185" t="str">
        <f t="shared" si="31"/>
        <v>Débil</v>
      </c>
      <c r="AF18" s="185" t="str">
        <f t="shared" si="32"/>
        <v>0</v>
      </c>
      <c r="AG18" s="232"/>
      <c r="AH18" s="232"/>
      <c r="AI18" s="232"/>
      <c r="AJ18" s="232"/>
      <c r="AK18" s="239"/>
      <c r="AL18" s="231"/>
      <c r="AM18" s="229"/>
      <c r="AN18" s="243"/>
      <c r="AO18" s="242"/>
      <c r="AP18" s="231"/>
      <c r="AQ18" s="229"/>
      <c r="AR18" s="232"/>
      <c r="AS18" s="248"/>
      <c r="AT18" s="186"/>
      <c r="AU18" s="187"/>
      <c r="AV18" s="117"/>
      <c r="AW18" s="117"/>
      <c r="AX18" s="186"/>
      <c r="AY18" s="187"/>
      <c r="AZ18" s="227"/>
      <c r="BA18" s="227"/>
    </row>
    <row r="19" spans="1:53" s="86" customFormat="1" ht="24" customHeight="1" x14ac:dyDescent="0.25">
      <c r="A19" s="244"/>
      <c r="B19" s="227"/>
      <c r="C19" s="227"/>
      <c r="D19" s="251"/>
      <c r="E19" s="227"/>
      <c r="F19" s="229"/>
      <c r="G19" s="229"/>
      <c r="H19" s="228"/>
      <c r="I19" s="229"/>
      <c r="J19" s="229"/>
      <c r="K19" s="229"/>
      <c r="L19" s="187">
        <v>5</v>
      </c>
      <c r="M19" s="134"/>
      <c r="N19" s="115"/>
      <c r="O19" s="175" t="b">
        <f t="shared" si="22"/>
        <v>0</v>
      </c>
      <c r="P19" s="116"/>
      <c r="Q19" s="175" t="b">
        <f t="shared" si="23"/>
        <v>0</v>
      </c>
      <c r="R19" s="116"/>
      <c r="S19" s="175" t="b">
        <f t="shared" si="24"/>
        <v>0</v>
      </c>
      <c r="T19" s="116"/>
      <c r="U19" s="175" t="b">
        <f t="shared" si="25"/>
        <v>0</v>
      </c>
      <c r="V19" s="116"/>
      <c r="W19" s="175" t="b">
        <f t="shared" si="26"/>
        <v>0</v>
      </c>
      <c r="X19" s="116"/>
      <c r="Y19" s="175" t="b">
        <f t="shared" si="27"/>
        <v>0</v>
      </c>
      <c r="Z19" s="116"/>
      <c r="AA19" s="175" t="b">
        <f t="shared" si="28"/>
        <v>0</v>
      </c>
      <c r="AB19" s="185">
        <f t="shared" si="29"/>
        <v>0</v>
      </c>
      <c r="AC19" s="185" t="str">
        <f t="shared" si="30"/>
        <v>Débil</v>
      </c>
      <c r="AD19" s="185"/>
      <c r="AE19" s="185" t="str">
        <f t="shared" si="31"/>
        <v>Débil</v>
      </c>
      <c r="AF19" s="185" t="str">
        <f t="shared" si="32"/>
        <v>0</v>
      </c>
      <c r="AG19" s="232"/>
      <c r="AH19" s="232"/>
      <c r="AI19" s="232"/>
      <c r="AJ19" s="232"/>
      <c r="AK19" s="239"/>
      <c r="AL19" s="231"/>
      <c r="AM19" s="229"/>
      <c r="AN19" s="243"/>
      <c r="AO19" s="242"/>
      <c r="AP19" s="231"/>
      <c r="AQ19" s="229"/>
      <c r="AR19" s="232"/>
      <c r="AS19" s="248"/>
      <c r="AT19" s="186"/>
      <c r="AU19" s="187"/>
      <c r="AV19" s="117"/>
      <c r="AW19" s="117"/>
      <c r="AX19" s="186"/>
      <c r="AY19" s="187"/>
      <c r="AZ19" s="227"/>
      <c r="BA19" s="227"/>
    </row>
    <row r="20" spans="1:53" s="86" customFormat="1" ht="24" customHeight="1" x14ac:dyDescent="0.2">
      <c r="A20" s="244" t="s">
        <v>385</v>
      </c>
      <c r="B20" s="227" t="s">
        <v>356</v>
      </c>
      <c r="C20" s="227" t="s">
        <v>386</v>
      </c>
      <c r="D20" s="227" t="s">
        <v>387</v>
      </c>
      <c r="E20" s="227" t="s">
        <v>89</v>
      </c>
      <c r="F20" s="229" t="str">
        <f>IF(AND(E20=[19]calificación_impacto_corrupción!$B$2),[19]calificación_impacto_corrupción!$A$2,IF(AND(E20=[19]calificación_impacto_corrupción!$B$3),[19]calificación_impacto_corrupción!$A$3,IF(AND(E20=[19]calificación_impacto_corrupción!$B$4),[19]calificación_impacto_corrupción!$A$4,IF(AND(E20=[19]calificación_impacto_corrupción!$B$5),[19]calificación_impacto_corrupción!$A$5,IF(AND(E20=[19]calificación_impacto_corrupción!$B$6),[19]calificación_impacto_corrupción!$A$6,FALSE)))))</f>
        <v>Posible</v>
      </c>
      <c r="G20" s="229" t="str">
        <f>IF(AND(E20=[19]calificación_impacto_corrupción!$B$6),"20%",IF(AND(E20=[19]calificación_impacto_corrupción!$B$5),"40%",IF(AND(E20=[19]calificación_impacto_corrupción!$B$4),"60%",IF(AND(E20=[19]calificación_impacto_corrupción!$B$3),"80%",IF(AND(E20=[19]calificación_impacto_corrupción!$B$2),"100%",FALSE)))))</f>
        <v>60%</v>
      </c>
      <c r="H20" s="228" t="s">
        <v>388</v>
      </c>
      <c r="I20" s="229" t="str">
        <f>IF(AND(H20=[13]DESPLEGABLES!$A$19),"Leve",IF(AND(H20=[13]DESPLEGABLES!$A$20),"Menor",IF(AND(H20=[13]DESPLEGABLES!$A$21),"Moderado",IF(AND(H20=[13]DESPLEGABLES!$A$22),"Mayor",IF(AND(H20=[13]DESPLEGABLES!$A$23),"Catastrófico",IF(AND(H20=[13]DESPLEGABLES!$A$25),"Leve",IF(AND(H20=[13]DESPLEGABLES!$A$26),"Menor",IF(AND(H20=[13]DESPLEGABLES!$A$27),"Moderado",IF(AND(H20=[13]DESPLEGABLES!$A$28),"Mayor",IF(AND(H20=[13]DESPLEGABLES!$A$29),"Catastrófico",IF(AND(H20=[13]DESPLEGABLES!$A$31),"Moderado",IF(AND(H20=[13]DESPLEGABLES!$A$32),"Mayor",IF(AND(H20=[13]DESPLEGABLES!$A$33),"Catastrófico","")))))))))))))</f>
        <v>Mayor</v>
      </c>
      <c r="J20" s="229" t="str">
        <f>IF(AND(I20="Leve"),"20%",IF(AND(I20="Menor"),"40%",IF(AND(I20="Moderado"),"60%",IF(AND(I20="Mayor"),"80%",IF(AND(I20="Catastrófico"),"100%","")))))</f>
        <v>80%</v>
      </c>
      <c r="K20" s="229" t="str">
        <f>IF(AND(G20&lt;="40%",J20="20%"),"Bajo",IF(AND(G20="60%",J20="20%"),"Moderado",IF(AND(G20="80%",J20="20%"),"Moderado",IF(AND(G20="100%",J20="20%"),"Alto",IF(AND(G20="20%",J20="40%"),"Bajo",IF(AND(G20="40%",J20="40%"),"Moderado",IF(AND(G20="60%",J20="40%"),"Moderado",IF(AND(G20="80%",J20="40%"),"Moderado",IF(AND(G20="100%",J20="40%"),"Alto",IF(AND(G20="20%",J20="60%"),"Moderado",IF(AND(G20="40%",J20="60%"),"Moderado",IF(AND(G20="60%",J20="60%"),"Moderado",IF(AND(G20="80%",J20="60%"),"Alto",IF(AND(G20="100%",J20="60%"),"Alto",IF(AND(G20="20%",J20="80%"),"Alto",IF(AND(G20="40%",J20="80%"),"Alto",IF(AND(G20="60%",J20="80%"),"Alto",IF(AND(G20="80%",J20="80%"),"Alto",IF(AND(G20="100%",J20="80%"),"Alto",IF(AND(G20="20%",J20="100%"),"Extremo",IF(AND(G20="40%",J20="100%"),"Extremo",IF(AND(G20="60%",J20="100%"),"Extremo",IF(AND(G20="80%",J20="100%"),"Moderado",IF(AND(G20="100%",J20="100%"),"Extremo",""))))))))))))))))))))))))</f>
        <v>Alto</v>
      </c>
      <c r="L20" s="187">
        <v>1</v>
      </c>
      <c r="M20" s="145" t="s">
        <v>389</v>
      </c>
      <c r="N20" s="115" t="s">
        <v>67</v>
      </c>
      <c r="O20" s="175">
        <f>IF(N20="Asignado",15,IF(N20="NO asignado",0))</f>
        <v>15</v>
      </c>
      <c r="P20" s="116" t="s">
        <v>68</v>
      </c>
      <c r="Q20" s="175">
        <f>IF(P20="Adecuado",15,IF(P20="Inadecuado",0))</f>
        <v>15</v>
      </c>
      <c r="R20" s="116" t="s">
        <v>69</v>
      </c>
      <c r="S20" s="175">
        <f>IF(R20="Oportuna",15,IF(R20="Inoportuna",0))</f>
        <v>15</v>
      </c>
      <c r="T20" s="116" t="s">
        <v>70</v>
      </c>
      <c r="U20" s="175">
        <f>IF(T20="Prevenir",15,IF(T20="Detectar",10,IF(T20="No es un control",0)))</f>
        <v>15</v>
      </c>
      <c r="V20" s="116" t="s">
        <v>71</v>
      </c>
      <c r="W20" s="175">
        <f>IF(V20="Confiable",15,IF(V20="No confiable",0))</f>
        <v>15</v>
      </c>
      <c r="X20" s="116" t="s">
        <v>72</v>
      </c>
      <c r="Y20" s="175">
        <f>IF(X20="Se investigan oportunamente",15,IF(X20="No se investigan oportunamente",0))</f>
        <v>15</v>
      </c>
      <c r="Z20" s="116" t="s">
        <v>90</v>
      </c>
      <c r="AA20" s="175">
        <f>IF(Z20="Completa",10,IF(Z20="Incompleta",5,IF(Z20="No existe",0)))</f>
        <v>10</v>
      </c>
      <c r="AB20" s="185">
        <f>O20+Q20+S20+U20+W20+Y20+AA20</f>
        <v>100</v>
      </c>
      <c r="AC20" s="185" t="str">
        <f>IF(AB20&lt;86,"Débil",(IF(AB20&lt;96,"Moderado","Fuerte")))</f>
        <v>Fuerte</v>
      </c>
      <c r="AD20" s="185" t="s">
        <v>74</v>
      </c>
      <c r="AE20" s="185" t="str">
        <f>IF(OR(AND(AC20="Fuerte",AD20="Moderado"),AND(AC20="Moderado",AD20="Fuerte"),AND(AC20="Moderado",AD20="Moderado")),"Moderado",IF(OR(AND(AC20="Fuerte",AD20="Débil"),AND(AC20="Moderado",AD20="Débil"),AND(AC20="Débil")),"Débil",IF(AND(AC20="Fuerte",AD20="Fuerte"),"Fuerte")))</f>
        <v>Fuerte</v>
      </c>
      <c r="AF20" s="185" t="str">
        <f>IF(AE20="Fuerte","100",IF(AE20="Moderado","50",IF(AE20="Débil","0")))</f>
        <v>100</v>
      </c>
      <c r="AG20" s="232">
        <v>2</v>
      </c>
      <c r="AH20" s="232">
        <f>(AF20+AF21+AF22+AF23+AF24)/AG20</f>
        <v>100</v>
      </c>
      <c r="AI20" s="232" t="str">
        <f>IF(AH20&lt;50,"Débil",IF(AH20&lt;=99,"Moderado",IF(AH20=100,"Fuerte",IF(AH20="","ERROR"))))</f>
        <v>Fuerte</v>
      </c>
      <c r="AJ20" s="232" t="s">
        <v>75</v>
      </c>
      <c r="AK20" s="239">
        <f>IF(AI20="Débil",0,IF(AND(AI20="Moderado",AJ20="Directamente"),20%,IF(AND(AI20="Moderado",AJ20="No disminuye"),0,IF(AND(AI20="Fuerte",AJ20="Directamente"),40%,IF(AND(AI20="Fuerte",AJ20="No disminuye"),0)))))</f>
        <v>0.4</v>
      </c>
      <c r="AL20" s="230">
        <f>G20-AK20</f>
        <v>0.19999999999999996</v>
      </c>
      <c r="AM20" s="229" t="str">
        <f>IF(AL20=100%,"Casi Seguro",IF(AL20=80,"Probable",IF(AL20=60%,"Posible",IF(AL20=40%,"Improbable",IF(AL20=20%,"Rara Vez",IF(AL20=0,"Rara Vez",IF(AL20&lt;0,"Rara Vez")))))))</f>
        <v>Rara Vez</v>
      </c>
      <c r="AN20" s="243" t="s">
        <v>76</v>
      </c>
      <c r="AO20" s="242">
        <f>IF(AI20="Débil",0,IF(AND(AI20="Moderado",AN20="Directamente"),20%,IF(AND(AI20="Moderado",AN20="Indirectamente"),0,IF(AND(AI20="Moderado",AN20="No disminuye"),0,IF(AND(AI20="Fuerte",AN20="Directamente"),40%,IF(AND(AI20="Fuerte",AN20="Indirectamente"),20%,IF(AND(AI20="Fuerte",AN20="No disminuye"),0)))))))</f>
        <v>0.2</v>
      </c>
      <c r="AP20" s="230">
        <f>J20-AO20</f>
        <v>0.60000000000000009</v>
      </c>
      <c r="AQ20" s="229" t="str">
        <f>IF(AP20=100%,"Catastrófico",IF(AP20=80%,"Mayor",IF(AP20=60%,"Moderado",IF(AP20&lt;=60%,"Moderado"))))</f>
        <v>Moderado</v>
      </c>
      <c r="AR20" s="232" t="str">
        <f>IF(OR(AND(AQ20="Moderado",AM20="Rara Vez"),AND(AQ20="Moderado",AM20="Improbable")),"Moderado",IF(OR(AND(AQ20="Mayor",AM20="Improbable"),AND(AQ20="Mayor",AM20="Rara Vez"),AND(AQ20="Moderado",AM20="Probable"),AND(AQ20="Moderado",AM20="Posible")),"Alto",IF(OR(AND(AQ20="Moderado",AM20="Casi Seguro"),AND(AQ20="Mayor",AM20="Posible"),AND(AQ20="Mayor",AM20="Probable"),AND(AQ20="Mayor",AM20="Casi Seguro")),"Extremo",IF(AQ20="Catastrófico","Extremo"))))</f>
        <v>Moderado</v>
      </c>
      <c r="AS20" s="248" t="s">
        <v>77</v>
      </c>
      <c r="AT20" s="186"/>
      <c r="AU20" s="186"/>
      <c r="AV20" s="117"/>
      <c r="AW20" s="117"/>
      <c r="AX20" s="118"/>
      <c r="AY20" s="187"/>
      <c r="AZ20" s="227" t="s">
        <v>390</v>
      </c>
      <c r="BA20" s="227" t="s">
        <v>93</v>
      </c>
    </row>
    <row r="21" spans="1:53" s="86" customFormat="1" ht="24" customHeight="1" x14ac:dyDescent="0.25">
      <c r="A21" s="244"/>
      <c r="B21" s="227"/>
      <c r="C21" s="227"/>
      <c r="D21" s="227"/>
      <c r="E21" s="227"/>
      <c r="F21" s="229"/>
      <c r="G21" s="229"/>
      <c r="H21" s="228"/>
      <c r="I21" s="229"/>
      <c r="J21" s="229"/>
      <c r="K21" s="229"/>
      <c r="L21" s="187">
        <v>2</v>
      </c>
      <c r="M21" s="135" t="s">
        <v>391</v>
      </c>
      <c r="N21" s="115" t="s">
        <v>67</v>
      </c>
      <c r="O21" s="175">
        <f t="shared" ref="O21:O24" si="33">IF(N21="Asignado",15,IF(N21="NO asignado",0))</f>
        <v>15</v>
      </c>
      <c r="P21" s="116" t="s">
        <v>68</v>
      </c>
      <c r="Q21" s="175">
        <f t="shared" ref="Q21:Q24" si="34">IF(P21="Adecuado",15,IF(P21="Inadecuado",0))</f>
        <v>15</v>
      </c>
      <c r="R21" s="116" t="s">
        <v>69</v>
      </c>
      <c r="S21" s="175">
        <f t="shared" ref="S21:S24" si="35">IF(R21="Oportuna",15,IF(R21="Inoportuna",0))</f>
        <v>15</v>
      </c>
      <c r="T21" s="116" t="s">
        <v>70</v>
      </c>
      <c r="U21" s="175">
        <f t="shared" ref="U21:U24" si="36">IF(T21="Prevenir",15,IF(T21="Detectar",10,IF(T21="No es un control",0)))</f>
        <v>15</v>
      </c>
      <c r="V21" s="116" t="s">
        <v>71</v>
      </c>
      <c r="W21" s="175">
        <f t="shared" ref="W21:W24" si="37">IF(V21="Confiable",15,IF(V21="No confiable",0))</f>
        <v>15</v>
      </c>
      <c r="X21" s="116" t="s">
        <v>72</v>
      </c>
      <c r="Y21" s="175">
        <f t="shared" ref="Y21:Y24" si="38">IF(X21="Se investigan oportunamente",15,IF(X21="No se investigan oportunamente",0))</f>
        <v>15</v>
      </c>
      <c r="Z21" s="116" t="s">
        <v>90</v>
      </c>
      <c r="AA21" s="175">
        <f t="shared" ref="AA21:AA24" si="39">IF(Z21="Completa",10,IF(Z21="Incompleta",5,IF(Z21="No existe",0)))</f>
        <v>10</v>
      </c>
      <c r="AB21" s="185">
        <f t="shared" ref="AB21:AB24" si="40">O21+Q21+S21+U21+W21+Y21+AA21</f>
        <v>100</v>
      </c>
      <c r="AC21" s="185" t="str">
        <f t="shared" ref="AC21:AC24" si="41">IF(AB21&lt;86,"Débil",(IF(AB21&lt;96,"Moderado","Fuerte")))</f>
        <v>Fuerte</v>
      </c>
      <c r="AD21" s="185" t="s">
        <v>74</v>
      </c>
      <c r="AE21" s="185" t="str">
        <f t="shared" ref="AE21:AE24" si="42">IF(OR(AND(AC21="Fuerte",AD21="Moderado"),AND(AC21="Moderado",AD21="Fuerte"),AND(AC21="Moderado",AD21="Moderado")),"Moderado",IF(OR(AND(AC21="Fuerte",AD21="Débil"),AND(AC21="Moderado",AD21="Débil"),AND(AC21="Débil")),"Débil",IF(AND(AC21="Fuerte",AD21="Fuerte"),"Fuerte")))</f>
        <v>Fuerte</v>
      </c>
      <c r="AF21" s="185" t="str">
        <f t="shared" ref="AF21:AF24" si="43">IF(AE21="Fuerte","100",IF(AE21="Moderado","50",IF(AE21="Débil","0")))</f>
        <v>100</v>
      </c>
      <c r="AG21" s="232"/>
      <c r="AH21" s="232"/>
      <c r="AI21" s="232"/>
      <c r="AJ21" s="232"/>
      <c r="AK21" s="239"/>
      <c r="AL21" s="231"/>
      <c r="AM21" s="229"/>
      <c r="AN21" s="243"/>
      <c r="AO21" s="242"/>
      <c r="AP21" s="231"/>
      <c r="AQ21" s="229"/>
      <c r="AR21" s="232"/>
      <c r="AS21" s="248"/>
      <c r="AT21" s="186"/>
      <c r="AU21" s="187"/>
      <c r="AV21" s="117"/>
      <c r="AW21" s="117"/>
      <c r="AX21" s="186"/>
      <c r="AY21" s="187"/>
      <c r="AZ21" s="227"/>
      <c r="BA21" s="227"/>
    </row>
    <row r="22" spans="1:53" s="86" customFormat="1" ht="24" customHeight="1" x14ac:dyDescent="0.25">
      <c r="A22" s="244"/>
      <c r="B22" s="227"/>
      <c r="C22" s="227"/>
      <c r="D22" s="227"/>
      <c r="E22" s="227"/>
      <c r="F22" s="229"/>
      <c r="G22" s="229"/>
      <c r="H22" s="228"/>
      <c r="I22" s="229"/>
      <c r="J22" s="229"/>
      <c r="K22" s="229"/>
      <c r="L22" s="187">
        <v>3</v>
      </c>
      <c r="M22" s="134"/>
      <c r="N22" s="115"/>
      <c r="O22" s="175" t="b">
        <f t="shared" si="33"/>
        <v>0</v>
      </c>
      <c r="P22" s="116"/>
      <c r="Q22" s="175" t="b">
        <f t="shared" si="34"/>
        <v>0</v>
      </c>
      <c r="R22" s="116"/>
      <c r="S22" s="175" t="b">
        <f t="shared" si="35"/>
        <v>0</v>
      </c>
      <c r="T22" s="116"/>
      <c r="U22" s="175" t="b">
        <f t="shared" si="36"/>
        <v>0</v>
      </c>
      <c r="V22" s="116"/>
      <c r="W22" s="175" t="b">
        <f t="shared" si="37"/>
        <v>0</v>
      </c>
      <c r="X22" s="116"/>
      <c r="Y22" s="175" t="b">
        <f t="shared" si="38"/>
        <v>0</v>
      </c>
      <c r="Z22" s="116"/>
      <c r="AA22" s="175" t="b">
        <f t="shared" si="39"/>
        <v>0</v>
      </c>
      <c r="AB22" s="185">
        <f t="shared" si="40"/>
        <v>0</v>
      </c>
      <c r="AC22" s="185" t="str">
        <f t="shared" si="41"/>
        <v>Débil</v>
      </c>
      <c r="AD22" s="185"/>
      <c r="AE22" s="185" t="str">
        <f t="shared" si="42"/>
        <v>Débil</v>
      </c>
      <c r="AF22" s="185" t="str">
        <f t="shared" si="43"/>
        <v>0</v>
      </c>
      <c r="AG22" s="232"/>
      <c r="AH22" s="232"/>
      <c r="AI22" s="232"/>
      <c r="AJ22" s="232"/>
      <c r="AK22" s="239"/>
      <c r="AL22" s="231"/>
      <c r="AM22" s="229"/>
      <c r="AN22" s="243"/>
      <c r="AO22" s="242"/>
      <c r="AP22" s="231"/>
      <c r="AQ22" s="229"/>
      <c r="AR22" s="232"/>
      <c r="AS22" s="248"/>
      <c r="AT22" s="186"/>
      <c r="AU22" s="187"/>
      <c r="AV22" s="117"/>
      <c r="AW22" s="117"/>
      <c r="AX22" s="186"/>
      <c r="AY22" s="187"/>
      <c r="AZ22" s="227"/>
      <c r="BA22" s="227"/>
    </row>
    <row r="23" spans="1:53" s="86" customFormat="1" ht="24" customHeight="1" x14ac:dyDescent="0.25">
      <c r="A23" s="244"/>
      <c r="B23" s="227"/>
      <c r="C23" s="227"/>
      <c r="D23" s="227"/>
      <c r="E23" s="227"/>
      <c r="F23" s="229"/>
      <c r="G23" s="229"/>
      <c r="H23" s="228"/>
      <c r="I23" s="229"/>
      <c r="J23" s="229"/>
      <c r="K23" s="229"/>
      <c r="L23" s="187">
        <v>4</v>
      </c>
      <c r="M23" s="134"/>
      <c r="N23" s="115"/>
      <c r="O23" s="175" t="b">
        <f t="shared" si="33"/>
        <v>0</v>
      </c>
      <c r="P23" s="116"/>
      <c r="Q23" s="175" t="b">
        <f t="shared" si="34"/>
        <v>0</v>
      </c>
      <c r="R23" s="116"/>
      <c r="S23" s="175" t="b">
        <f t="shared" si="35"/>
        <v>0</v>
      </c>
      <c r="T23" s="116"/>
      <c r="U23" s="175" t="b">
        <f t="shared" si="36"/>
        <v>0</v>
      </c>
      <c r="V23" s="116"/>
      <c r="W23" s="175" t="b">
        <f t="shared" si="37"/>
        <v>0</v>
      </c>
      <c r="X23" s="116"/>
      <c r="Y23" s="175" t="b">
        <f t="shared" si="38"/>
        <v>0</v>
      </c>
      <c r="Z23" s="116"/>
      <c r="AA23" s="175" t="b">
        <f t="shared" si="39"/>
        <v>0</v>
      </c>
      <c r="AB23" s="185">
        <f t="shared" si="40"/>
        <v>0</v>
      </c>
      <c r="AC23" s="185" t="str">
        <f t="shared" si="41"/>
        <v>Débil</v>
      </c>
      <c r="AD23" s="185"/>
      <c r="AE23" s="185" t="str">
        <f t="shared" si="42"/>
        <v>Débil</v>
      </c>
      <c r="AF23" s="185" t="str">
        <f t="shared" si="43"/>
        <v>0</v>
      </c>
      <c r="AG23" s="232"/>
      <c r="AH23" s="232"/>
      <c r="AI23" s="232"/>
      <c r="AJ23" s="232"/>
      <c r="AK23" s="239"/>
      <c r="AL23" s="231"/>
      <c r="AM23" s="229"/>
      <c r="AN23" s="243"/>
      <c r="AO23" s="242"/>
      <c r="AP23" s="231"/>
      <c r="AQ23" s="229"/>
      <c r="AR23" s="232"/>
      <c r="AS23" s="248"/>
      <c r="AT23" s="186"/>
      <c r="AU23" s="187"/>
      <c r="AV23" s="117"/>
      <c r="AW23" s="117"/>
      <c r="AX23" s="186"/>
      <c r="AY23" s="187"/>
      <c r="AZ23" s="227"/>
      <c r="BA23" s="227"/>
    </row>
    <row r="24" spans="1:53" s="86" customFormat="1" ht="24" customHeight="1" x14ac:dyDescent="0.25">
      <c r="A24" s="244"/>
      <c r="B24" s="227"/>
      <c r="C24" s="227"/>
      <c r="D24" s="227"/>
      <c r="E24" s="227"/>
      <c r="F24" s="229"/>
      <c r="G24" s="229"/>
      <c r="H24" s="228"/>
      <c r="I24" s="229"/>
      <c r="J24" s="229"/>
      <c r="K24" s="229"/>
      <c r="L24" s="187">
        <v>5</v>
      </c>
      <c r="M24" s="134"/>
      <c r="N24" s="115"/>
      <c r="O24" s="175" t="b">
        <f t="shared" si="33"/>
        <v>0</v>
      </c>
      <c r="P24" s="116"/>
      <c r="Q24" s="175" t="b">
        <f t="shared" si="34"/>
        <v>0</v>
      </c>
      <c r="R24" s="116"/>
      <c r="S24" s="175" t="b">
        <f t="shared" si="35"/>
        <v>0</v>
      </c>
      <c r="T24" s="116"/>
      <c r="U24" s="175" t="b">
        <f t="shared" si="36"/>
        <v>0</v>
      </c>
      <c r="V24" s="116"/>
      <c r="W24" s="175" t="b">
        <f t="shared" si="37"/>
        <v>0</v>
      </c>
      <c r="X24" s="116"/>
      <c r="Y24" s="175" t="b">
        <f t="shared" si="38"/>
        <v>0</v>
      </c>
      <c r="Z24" s="116"/>
      <c r="AA24" s="175" t="b">
        <f t="shared" si="39"/>
        <v>0</v>
      </c>
      <c r="AB24" s="185">
        <f t="shared" si="40"/>
        <v>0</v>
      </c>
      <c r="AC24" s="185" t="str">
        <f t="shared" si="41"/>
        <v>Débil</v>
      </c>
      <c r="AD24" s="185"/>
      <c r="AE24" s="185" t="str">
        <f t="shared" si="42"/>
        <v>Débil</v>
      </c>
      <c r="AF24" s="185" t="str">
        <f t="shared" si="43"/>
        <v>0</v>
      </c>
      <c r="AG24" s="232"/>
      <c r="AH24" s="232"/>
      <c r="AI24" s="232"/>
      <c r="AJ24" s="232"/>
      <c r="AK24" s="239"/>
      <c r="AL24" s="231"/>
      <c r="AM24" s="229"/>
      <c r="AN24" s="243"/>
      <c r="AO24" s="242"/>
      <c r="AP24" s="231"/>
      <c r="AQ24" s="229"/>
      <c r="AR24" s="232"/>
      <c r="AS24" s="248"/>
      <c r="AT24" s="186"/>
      <c r="AU24" s="187"/>
      <c r="AV24" s="117"/>
      <c r="AW24" s="117"/>
      <c r="AX24" s="186"/>
      <c r="AY24" s="187"/>
      <c r="AZ24" s="227"/>
      <c r="BA24" s="227"/>
    </row>
    <row r="25" spans="1:53" s="86" customFormat="1" ht="24" customHeight="1" x14ac:dyDescent="0.2">
      <c r="A25" s="244" t="s">
        <v>449</v>
      </c>
      <c r="B25" s="227" t="s">
        <v>723</v>
      </c>
      <c r="C25" s="227" t="s">
        <v>450</v>
      </c>
      <c r="D25" s="227" t="s">
        <v>451</v>
      </c>
      <c r="E25" s="227" t="s">
        <v>94</v>
      </c>
      <c r="F25" s="229" t="str">
        <f>IF(AND(E25=[20]calificación_impacto_corrupción!$B$2),[20]calificación_impacto_corrupción!$A$2,IF(AND(E25=[20]calificación_impacto_corrupción!$B$3),[20]calificación_impacto_corrupción!$A$3,IF(AND(E25=[20]calificación_impacto_corrupción!$B$4),[20]calificación_impacto_corrupción!$A$4,IF(AND(E25=[20]calificación_impacto_corrupción!$B$5),[20]calificación_impacto_corrupción!$A$5,IF(AND(E25=[20]calificación_impacto_corrupción!$B$6),[20]calificación_impacto_corrupción!$A$6,FALSE)))))</f>
        <v>Improbable</v>
      </c>
      <c r="G25" s="229" t="str">
        <f>IF(AND(E25=[20]calificación_impacto_corrupción!$B$6),"20%",IF(AND(E25=[20]calificación_impacto_corrupción!$B$5),"40%",IF(AND(E25=[20]calificación_impacto_corrupción!$B$4),"60%",IF(AND(E25=[20]calificación_impacto_corrupción!$B$3),"80%",IF(AND(E25=[20]calificación_impacto_corrupción!$B$2),"100%",FALSE)))))</f>
        <v>40%</v>
      </c>
      <c r="H25" s="228" t="s">
        <v>65</v>
      </c>
      <c r="I25" s="229" t="str">
        <f>IF(AND(H25=[13]DESPLEGABLES!$A$19),"Leve",IF(AND(H25=[13]DESPLEGABLES!$A$20),"Menor",IF(AND(H25=[13]DESPLEGABLES!$A$21),"Moderado",IF(AND(H25=[13]DESPLEGABLES!$A$22),"Mayor",IF(AND(H25=[13]DESPLEGABLES!$A$23),"Catastrófico",IF(AND(H25=[13]DESPLEGABLES!$A$25),"Leve",IF(AND(H25=[13]DESPLEGABLES!$A$26),"Menor",IF(AND(H25=[13]DESPLEGABLES!$A$27),"Moderado",IF(AND(H25=[13]DESPLEGABLES!$A$28),"Mayor",IF(AND(H25=[13]DESPLEGABLES!$A$29),"Catastrófico",IF(AND(H25=[13]DESPLEGABLES!$A$31),"Moderado",IF(AND(H25=[13]DESPLEGABLES!$A$32),"Mayor",IF(AND(H25=[13]DESPLEGABLES!$A$33),"Catastrófico","")))))))))))))</f>
        <v>Catastrófico</v>
      </c>
      <c r="J25" s="229" t="str">
        <f>IF(AND(I25="Leve"),"20%",IF(AND(I25="Menor"),"40%",IF(AND(I25="Moderado"),"60%",IF(AND(I25="Mayor"),"80%",IF(AND(I25="Catastrófico"),"100%","")))))</f>
        <v>100%</v>
      </c>
      <c r="K25" s="229" t="str">
        <f>IF(AND(G25&lt;="40%",J25="20%"),"Bajo",IF(AND(G25="60%",J25="20%"),"Moderado",IF(AND(G25="80%",J25="20%"),"Moderado",IF(AND(G25="100%",J25="20%"),"Alto",IF(AND(G25="20%",J25="40%"),"Bajo",IF(AND(G25="40%",J25="40%"),"Moderado",IF(AND(G25="60%",J25="40%"),"Moderado",IF(AND(G25="80%",J25="40%"),"Moderado",IF(AND(G25="100%",J25="40%"),"Alto",IF(AND(G25="20%",J25="60%"),"Moderado",IF(AND(G25="40%",J25="60%"),"Moderado",IF(AND(G25="60%",J25="60%"),"Moderado",IF(AND(G25="80%",J25="60%"),"Alto",IF(AND(G25="100%",J25="60%"),"Alto",IF(AND(G25="20%",J25="80%"),"Alto",IF(AND(G25="40%",J25="80%"),"Alto",IF(AND(G25="60%",J25="80%"),"Alto",IF(AND(G25="80%",J25="80%"),"Alto",IF(AND(G25="100%",J25="80%"),"Alto",IF(AND(G25="20%",J25="100%"),"Extremo",IF(AND(G25="40%",J25="100%"),"Extremo",IF(AND(G25="60%",J25="100%"),"Extremo",IF(AND(G25="80%",J25="100%"),"Moderado",IF(AND(G25="100%",J25="100%"),"Extremo",""))))))))))))))))))))))))</f>
        <v>Extremo</v>
      </c>
      <c r="L25" s="187">
        <v>1</v>
      </c>
      <c r="M25" s="661" t="s">
        <v>95</v>
      </c>
      <c r="N25" s="115" t="s">
        <v>67</v>
      </c>
      <c r="O25" s="175">
        <f>IF(N25="Asignado",15,IF(N25="NO asignado",0))</f>
        <v>15</v>
      </c>
      <c r="P25" s="116" t="s">
        <v>68</v>
      </c>
      <c r="Q25" s="175">
        <f>IF(P25="Adecuado",15,IF(P25="Inadecuado",0))</f>
        <v>15</v>
      </c>
      <c r="R25" s="116" t="s">
        <v>69</v>
      </c>
      <c r="S25" s="175">
        <f>IF(R25="Oportuna",15,IF(R25="Inoportuna",0))</f>
        <v>15</v>
      </c>
      <c r="T25" s="116" t="s">
        <v>70</v>
      </c>
      <c r="U25" s="175">
        <f>IF(T25="Prevenir",15,IF(T25="Detectar",10,IF(T25="No es un control",0)))</f>
        <v>15</v>
      </c>
      <c r="V25" s="116" t="s">
        <v>71</v>
      </c>
      <c r="W25" s="175">
        <f>IF(V25="Confiable",15,IF(V25="No confiable",0))</f>
        <v>15</v>
      </c>
      <c r="X25" s="116" t="s">
        <v>72</v>
      </c>
      <c r="Y25" s="175">
        <f>IF(X25="Se investigan oportunamente",15,IF(X25="No se investigan oportunamente",0))</f>
        <v>15</v>
      </c>
      <c r="Z25" s="116" t="s">
        <v>90</v>
      </c>
      <c r="AA25" s="175">
        <f>IF(Z25="Completa",10,IF(Z25="Incompleta",5,IF(Z25="No existe",0)))</f>
        <v>10</v>
      </c>
      <c r="AB25" s="185">
        <f>O25+Q25+S25+U25+W25+Y25+AA25</f>
        <v>100</v>
      </c>
      <c r="AC25" s="185" t="str">
        <f>IF(AB25&lt;86,"Débil",(IF(AB25&lt;96,"Moderado","Fuerte")))</f>
        <v>Fuerte</v>
      </c>
      <c r="AD25" s="185" t="s">
        <v>74</v>
      </c>
      <c r="AE25" s="185" t="str">
        <f>IF(OR(AND(AC25="Fuerte",AD25="Moderado"),AND(AC25="Moderado",AD25="Fuerte"),AND(AC25="Moderado",AD25="Moderado")),"Moderado",IF(OR(AND(AC25="Fuerte",AD25="Débil"),AND(AC25="Moderado",AD25="Débil"),AND(AC25="Débil")),"Débil",IF(AND(AC25="Fuerte",AD25="Fuerte"),"Fuerte")))</f>
        <v>Fuerte</v>
      </c>
      <c r="AF25" s="185" t="str">
        <f>IF(AE25="Fuerte","100",IF(AE25="Moderado","50",IF(AE25="Débil","0")))</f>
        <v>100</v>
      </c>
      <c r="AG25" s="232">
        <v>2</v>
      </c>
      <c r="AH25" s="232">
        <f>(AF25+AF26+AF27+AF28+AF29)/AG25</f>
        <v>100</v>
      </c>
      <c r="AI25" s="232" t="str">
        <f>IF(AH25&lt;50,"Débil",IF(AH25&lt;=99,"Moderado",IF(AH25=100,"Fuerte",IF(AH25="","ERROR"))))</f>
        <v>Fuerte</v>
      </c>
      <c r="AJ25" s="232" t="s">
        <v>75</v>
      </c>
      <c r="AK25" s="239">
        <f>IF(AI25="Débil",0,IF(AND(AI25="Moderado",AJ25="Directamente"),20%,IF(AND(AI25="Moderado",AJ25="No disminuye"),0,IF(AND(AI25="Fuerte",AJ25="Directamente"),40%,IF(AND(AI25="Fuerte",AJ25="No disminuye"),0)))))</f>
        <v>0.4</v>
      </c>
      <c r="AL25" s="230">
        <f>G25-AK25</f>
        <v>0</v>
      </c>
      <c r="AM25" s="229" t="str">
        <f>IF(AL25=100%,"Casi Seguro",IF(AL25=80,"Probable",IF(AL25=60%,"Posible",IF(AL25=40%,"Improbable",IF(AL25=20%,"Rara Vez",IF(AL25=0,"Rara Vez",IF(AL25&lt;0,"Rara Vez")))))))</f>
        <v>Rara Vez</v>
      </c>
      <c r="AN25" s="243" t="s">
        <v>96</v>
      </c>
      <c r="AO25" s="242">
        <f>IF(AI25="Débil",0,IF(AND(AI25="Moderado",AN25="Directamente"),20%,IF(AND(AI25="Moderado",AN25="Indirectamente"),0,IF(AND(AI25="Moderado",AN25="No disminuye"),0,IF(AND(AI25="Fuerte",AN25="Directamente"),40%,IF(AND(AI25="Fuerte",AN25="Indirectamente"),20%,IF(AND(AI25="Fuerte",AN25="No disminuye"),0)))))))</f>
        <v>0</v>
      </c>
      <c r="AP25" s="230">
        <f>J25-AO25</f>
        <v>1</v>
      </c>
      <c r="AQ25" s="229" t="str">
        <f>IF(AP25=100%,"Catastrófico",IF(AP25=80%,"Mayor",IF(AP25=60%,"Moderado",IF(AP25&lt;=60%,"Moderado"))))</f>
        <v>Catastrófico</v>
      </c>
      <c r="AR25" s="232" t="str">
        <f>IF(OR(AND(AQ25="Moderado",AM25="Rara Vez"),AND(AQ25="Moderado",AM25="Improbable")),"Moderado",IF(OR(AND(AQ25="Mayor",AM25="Improbable"),AND(AQ25="Mayor",AM25="Rara Vez"),AND(AQ25="Moderado",AM25="Probable"),AND(AQ25="Moderado",AM25="Posible")),"Alto",IF(OR(AND(AQ25="Moderado",AM25="Casi Seguro"),AND(AQ25="Mayor",AM25="Posible"),AND(AQ25="Mayor",AM25="Probable"),AND(AQ25="Mayor",AM25="Casi Seguro")),"Extremo",IF(AQ25="Catastrófico","Extremo"))))</f>
        <v>Extremo</v>
      </c>
      <c r="AS25" s="248" t="s">
        <v>77</v>
      </c>
      <c r="AT25" s="186" t="s">
        <v>452</v>
      </c>
      <c r="AU25" s="186" t="s">
        <v>440</v>
      </c>
      <c r="AV25" s="117" t="s">
        <v>238</v>
      </c>
      <c r="AW25" s="117" t="s">
        <v>283</v>
      </c>
      <c r="AX25" s="118" t="s">
        <v>250</v>
      </c>
      <c r="AY25" s="187" t="s">
        <v>81</v>
      </c>
      <c r="AZ25" s="227" t="s">
        <v>307</v>
      </c>
      <c r="BA25" s="227" t="s">
        <v>93</v>
      </c>
    </row>
    <row r="26" spans="1:53" s="86" customFormat="1" ht="24" customHeight="1" x14ac:dyDescent="0.25">
      <c r="A26" s="244"/>
      <c r="B26" s="227"/>
      <c r="C26" s="227"/>
      <c r="D26" s="227"/>
      <c r="E26" s="227"/>
      <c r="F26" s="229"/>
      <c r="G26" s="229"/>
      <c r="H26" s="228"/>
      <c r="I26" s="229"/>
      <c r="J26" s="229"/>
      <c r="K26" s="229"/>
      <c r="L26" s="187">
        <v>2</v>
      </c>
      <c r="M26" s="661" t="s">
        <v>453</v>
      </c>
      <c r="N26" s="115" t="s">
        <v>67</v>
      </c>
      <c r="O26" s="175">
        <f t="shared" ref="O26:O29" si="44">IF(N26="Asignado",15,IF(N26="NO asignado",0))</f>
        <v>15</v>
      </c>
      <c r="P26" s="116" t="s">
        <v>68</v>
      </c>
      <c r="Q26" s="175">
        <f t="shared" ref="Q26:Q29" si="45">IF(P26="Adecuado",15,IF(P26="Inadecuado",0))</f>
        <v>15</v>
      </c>
      <c r="R26" s="116" t="s">
        <v>69</v>
      </c>
      <c r="S26" s="175">
        <f t="shared" ref="S26:S29" si="46">IF(R26="Oportuna",15,IF(R26="Inoportuna",0))</f>
        <v>15</v>
      </c>
      <c r="T26" s="116" t="s">
        <v>70</v>
      </c>
      <c r="U26" s="175">
        <f t="shared" ref="U26:U29" si="47">IF(T26="Prevenir",15,IF(T26="Detectar",10,IF(T26="No es un control",0)))</f>
        <v>15</v>
      </c>
      <c r="V26" s="116" t="s">
        <v>71</v>
      </c>
      <c r="W26" s="175">
        <f t="shared" ref="W26:W29" si="48">IF(V26="Confiable",15,IF(V26="No confiable",0))</f>
        <v>15</v>
      </c>
      <c r="X26" s="116" t="s">
        <v>72</v>
      </c>
      <c r="Y26" s="175">
        <f t="shared" ref="Y26:Y29" si="49">IF(X26="Se investigan oportunamente",15,IF(X26="No se investigan oportunamente",0))</f>
        <v>15</v>
      </c>
      <c r="Z26" s="116" t="s">
        <v>90</v>
      </c>
      <c r="AA26" s="175">
        <f t="shared" ref="AA26:AA29" si="50">IF(Z26="Completa",10,IF(Z26="Incompleta",5,IF(Z26="No existe",0)))</f>
        <v>10</v>
      </c>
      <c r="AB26" s="185">
        <f t="shared" ref="AB26:AB29" si="51">O26+Q26+S26+U26+W26+Y26+AA26</f>
        <v>100</v>
      </c>
      <c r="AC26" s="185" t="str">
        <f t="shared" ref="AC26:AC29" si="52">IF(AB26&lt;86,"Débil",(IF(AB26&lt;96,"Moderado","Fuerte")))</f>
        <v>Fuerte</v>
      </c>
      <c r="AD26" s="185" t="s">
        <v>74</v>
      </c>
      <c r="AE26" s="185" t="str">
        <f t="shared" ref="AE26:AE29" si="53">IF(OR(AND(AC26="Fuerte",AD26="Moderado"),AND(AC26="Moderado",AD26="Fuerte"),AND(AC26="Moderado",AD26="Moderado")),"Moderado",IF(OR(AND(AC26="Fuerte",AD26="Débil"),AND(AC26="Moderado",AD26="Débil"),AND(AC26="Débil")),"Débil",IF(AND(AC26="Fuerte",AD26="Fuerte"),"Fuerte")))</f>
        <v>Fuerte</v>
      </c>
      <c r="AF26" s="185" t="str">
        <f t="shared" ref="AF26:AF29" si="54">IF(AE26="Fuerte","100",IF(AE26="Moderado","50",IF(AE26="Débil","0")))</f>
        <v>100</v>
      </c>
      <c r="AG26" s="232"/>
      <c r="AH26" s="232"/>
      <c r="AI26" s="232"/>
      <c r="AJ26" s="232"/>
      <c r="AK26" s="239"/>
      <c r="AL26" s="231"/>
      <c r="AM26" s="229"/>
      <c r="AN26" s="243"/>
      <c r="AO26" s="242"/>
      <c r="AP26" s="231"/>
      <c r="AQ26" s="229"/>
      <c r="AR26" s="232"/>
      <c r="AS26" s="248"/>
      <c r="AT26" s="186"/>
      <c r="AU26" s="187"/>
      <c r="AV26" s="117"/>
      <c r="AW26" s="117"/>
      <c r="AX26" s="186"/>
      <c r="AY26" s="187"/>
      <c r="AZ26" s="227"/>
      <c r="BA26" s="227"/>
    </row>
    <row r="27" spans="1:53" s="86" customFormat="1" ht="24" customHeight="1" x14ac:dyDescent="0.25">
      <c r="A27" s="244"/>
      <c r="B27" s="227"/>
      <c r="C27" s="227"/>
      <c r="D27" s="227"/>
      <c r="E27" s="227"/>
      <c r="F27" s="229"/>
      <c r="G27" s="229"/>
      <c r="H27" s="228"/>
      <c r="I27" s="229"/>
      <c r="J27" s="229"/>
      <c r="K27" s="229"/>
      <c r="L27" s="187">
        <v>3</v>
      </c>
      <c r="M27" s="134"/>
      <c r="N27" s="115"/>
      <c r="O27" s="175" t="b">
        <f t="shared" si="44"/>
        <v>0</v>
      </c>
      <c r="P27" s="116"/>
      <c r="Q27" s="175" t="b">
        <f t="shared" si="45"/>
        <v>0</v>
      </c>
      <c r="R27" s="116"/>
      <c r="S27" s="175" t="b">
        <f t="shared" si="46"/>
        <v>0</v>
      </c>
      <c r="T27" s="116"/>
      <c r="U27" s="175" t="b">
        <f t="shared" si="47"/>
        <v>0</v>
      </c>
      <c r="V27" s="116"/>
      <c r="W27" s="175" t="b">
        <f t="shared" si="48"/>
        <v>0</v>
      </c>
      <c r="X27" s="116"/>
      <c r="Y27" s="175" t="b">
        <f t="shared" si="49"/>
        <v>0</v>
      </c>
      <c r="Z27" s="116"/>
      <c r="AA27" s="175" t="b">
        <f t="shared" si="50"/>
        <v>0</v>
      </c>
      <c r="AB27" s="185">
        <f t="shared" si="51"/>
        <v>0</v>
      </c>
      <c r="AC27" s="185" t="str">
        <f t="shared" si="52"/>
        <v>Débil</v>
      </c>
      <c r="AD27" s="185"/>
      <c r="AE27" s="185" t="str">
        <f t="shared" si="53"/>
        <v>Débil</v>
      </c>
      <c r="AF27" s="185" t="str">
        <f t="shared" si="54"/>
        <v>0</v>
      </c>
      <c r="AG27" s="232"/>
      <c r="AH27" s="232"/>
      <c r="AI27" s="232"/>
      <c r="AJ27" s="232"/>
      <c r="AK27" s="239"/>
      <c r="AL27" s="231"/>
      <c r="AM27" s="229"/>
      <c r="AN27" s="243"/>
      <c r="AO27" s="242"/>
      <c r="AP27" s="231"/>
      <c r="AQ27" s="229"/>
      <c r="AR27" s="232"/>
      <c r="AS27" s="248"/>
      <c r="AT27" s="186"/>
      <c r="AU27" s="187"/>
      <c r="AV27" s="117"/>
      <c r="AW27" s="117"/>
      <c r="AX27" s="186"/>
      <c r="AY27" s="187"/>
      <c r="AZ27" s="227"/>
      <c r="BA27" s="227"/>
    </row>
    <row r="28" spans="1:53" s="86" customFormat="1" ht="24" customHeight="1" x14ac:dyDescent="0.25">
      <c r="A28" s="244"/>
      <c r="B28" s="227"/>
      <c r="C28" s="227"/>
      <c r="D28" s="227"/>
      <c r="E28" s="227"/>
      <c r="F28" s="229"/>
      <c r="G28" s="229"/>
      <c r="H28" s="228"/>
      <c r="I28" s="229"/>
      <c r="J28" s="229"/>
      <c r="K28" s="229"/>
      <c r="L28" s="187">
        <v>4</v>
      </c>
      <c r="M28" s="134"/>
      <c r="N28" s="115"/>
      <c r="O28" s="175" t="b">
        <f t="shared" si="44"/>
        <v>0</v>
      </c>
      <c r="P28" s="116"/>
      <c r="Q28" s="175" t="b">
        <f t="shared" si="45"/>
        <v>0</v>
      </c>
      <c r="R28" s="116"/>
      <c r="S28" s="175" t="b">
        <f t="shared" si="46"/>
        <v>0</v>
      </c>
      <c r="T28" s="116"/>
      <c r="U28" s="175" t="b">
        <f t="shared" si="47"/>
        <v>0</v>
      </c>
      <c r="V28" s="116"/>
      <c r="W28" s="175" t="b">
        <f t="shared" si="48"/>
        <v>0</v>
      </c>
      <c r="X28" s="116"/>
      <c r="Y28" s="175" t="b">
        <f t="shared" si="49"/>
        <v>0</v>
      </c>
      <c r="Z28" s="116"/>
      <c r="AA28" s="175" t="b">
        <f t="shared" si="50"/>
        <v>0</v>
      </c>
      <c r="AB28" s="185">
        <f t="shared" si="51"/>
        <v>0</v>
      </c>
      <c r="AC28" s="185" t="str">
        <f t="shared" si="52"/>
        <v>Débil</v>
      </c>
      <c r="AD28" s="185"/>
      <c r="AE28" s="185" t="str">
        <f t="shared" si="53"/>
        <v>Débil</v>
      </c>
      <c r="AF28" s="185" t="str">
        <f t="shared" si="54"/>
        <v>0</v>
      </c>
      <c r="AG28" s="232"/>
      <c r="AH28" s="232"/>
      <c r="AI28" s="232"/>
      <c r="AJ28" s="232"/>
      <c r="AK28" s="239"/>
      <c r="AL28" s="231"/>
      <c r="AM28" s="229"/>
      <c r="AN28" s="243"/>
      <c r="AO28" s="242"/>
      <c r="AP28" s="231"/>
      <c r="AQ28" s="229"/>
      <c r="AR28" s="232"/>
      <c r="AS28" s="248"/>
      <c r="AT28" s="186"/>
      <c r="AU28" s="187"/>
      <c r="AV28" s="117"/>
      <c r="AW28" s="117"/>
      <c r="AX28" s="186"/>
      <c r="AY28" s="187"/>
      <c r="AZ28" s="227"/>
      <c r="BA28" s="227"/>
    </row>
    <row r="29" spans="1:53" s="86" customFormat="1" ht="24" customHeight="1" x14ac:dyDescent="0.25">
      <c r="A29" s="244"/>
      <c r="B29" s="227"/>
      <c r="C29" s="227"/>
      <c r="D29" s="227"/>
      <c r="E29" s="227"/>
      <c r="F29" s="229"/>
      <c r="G29" s="229"/>
      <c r="H29" s="228"/>
      <c r="I29" s="229"/>
      <c r="J29" s="229"/>
      <c r="K29" s="229"/>
      <c r="L29" s="187">
        <v>5</v>
      </c>
      <c r="M29" s="134"/>
      <c r="N29" s="115"/>
      <c r="O29" s="175" t="b">
        <f t="shared" si="44"/>
        <v>0</v>
      </c>
      <c r="P29" s="116"/>
      <c r="Q29" s="175" t="b">
        <f t="shared" si="45"/>
        <v>0</v>
      </c>
      <c r="R29" s="116"/>
      <c r="S29" s="175" t="b">
        <f t="shared" si="46"/>
        <v>0</v>
      </c>
      <c r="T29" s="116"/>
      <c r="U29" s="175" t="b">
        <f t="shared" si="47"/>
        <v>0</v>
      </c>
      <c r="V29" s="116"/>
      <c r="W29" s="175" t="b">
        <f t="shared" si="48"/>
        <v>0</v>
      </c>
      <c r="X29" s="116"/>
      <c r="Y29" s="175" t="b">
        <f t="shared" si="49"/>
        <v>0</v>
      </c>
      <c r="Z29" s="116"/>
      <c r="AA29" s="175" t="b">
        <f t="shared" si="50"/>
        <v>0</v>
      </c>
      <c r="AB29" s="185">
        <f t="shared" si="51"/>
        <v>0</v>
      </c>
      <c r="AC29" s="185" t="str">
        <f t="shared" si="52"/>
        <v>Débil</v>
      </c>
      <c r="AD29" s="185"/>
      <c r="AE29" s="185" t="str">
        <f t="shared" si="53"/>
        <v>Débil</v>
      </c>
      <c r="AF29" s="185" t="str">
        <f t="shared" si="54"/>
        <v>0</v>
      </c>
      <c r="AG29" s="232"/>
      <c r="AH29" s="232"/>
      <c r="AI29" s="232"/>
      <c r="AJ29" s="232"/>
      <c r="AK29" s="239"/>
      <c r="AL29" s="231"/>
      <c r="AM29" s="229"/>
      <c r="AN29" s="243"/>
      <c r="AO29" s="242"/>
      <c r="AP29" s="231"/>
      <c r="AQ29" s="229"/>
      <c r="AR29" s="232"/>
      <c r="AS29" s="248"/>
      <c r="AT29" s="186"/>
      <c r="AU29" s="187"/>
      <c r="AV29" s="117"/>
      <c r="AW29" s="117"/>
      <c r="AX29" s="186"/>
      <c r="AY29" s="187"/>
      <c r="AZ29" s="227"/>
      <c r="BA29" s="227"/>
    </row>
    <row r="30" spans="1:53" s="86" customFormat="1" ht="24" customHeight="1" x14ac:dyDescent="0.25">
      <c r="A30" s="244" t="s">
        <v>406</v>
      </c>
      <c r="B30" s="227" t="s">
        <v>454</v>
      </c>
      <c r="C30" s="245" t="s">
        <v>407</v>
      </c>
      <c r="D30" s="245" t="s">
        <v>408</v>
      </c>
      <c r="E30" s="245" t="s">
        <v>409</v>
      </c>
      <c r="F30" s="238" t="str">
        <f>IF(AND(E30=[4]calificación_impacto_corrupción!$B$2),[4]calificación_impacto_corrupción!$A$2,IF(AND(E30=[4]calificación_impacto_corrupción!$B$3),[4]calificación_impacto_corrupción!$A$3,IF(AND(E30=[4]calificación_impacto_corrupción!$B$4),[4]calificación_impacto_corrupción!$A$4,IF(AND(E30=[4]calificación_impacto_corrupción!$B$5),[4]calificación_impacto_corrupción!$A$5,IF(AND(E30=[4]calificación_impacto_corrupción!$B$6),[4]calificación_impacto_corrupción!$A$6,FALSE)))))</f>
        <v>Casi seguro</v>
      </c>
      <c r="G30" s="238" t="str">
        <f>IF(AND(E30=[4]calificación_impacto_corrupción!$B$6),"20%",IF(AND(E30=[4]calificación_impacto_corrupción!$B$5),"40%",IF(AND(E30=[4]calificación_impacto_corrupción!$B$4),"60%",IF(AND(E30=[4]calificación_impacto_corrupción!$B$3),"80%",IF(AND(E30=[4]calificación_impacto_corrupción!$B$2),"100%",FALSE)))))</f>
        <v>100%</v>
      </c>
      <c r="H30" s="241" t="s">
        <v>65</v>
      </c>
      <c r="I30" s="238" t="str">
        <f>IF(AND(H30=[13]DESPLEGABLES!$A$19),"Leve",IF(AND(H30=[13]DESPLEGABLES!$A$20),"Menor",IF(AND(H30=[13]DESPLEGABLES!$A$21),"Moderado",IF(AND(H30=[13]DESPLEGABLES!$A$22),"Mayor",IF(AND(H30=[13]DESPLEGABLES!$A$23),"Catastrófico",IF(AND(H30=[13]DESPLEGABLES!$A$25),"Leve",IF(AND(H30=[13]DESPLEGABLES!$A$26),"Menor",IF(AND(H30=[13]DESPLEGABLES!$A$27),"Moderado",IF(AND(H30=[13]DESPLEGABLES!$A$28),"Mayor",IF(AND(H30=[13]DESPLEGABLES!$A$29),"Catastrófico",IF(AND(H30=[13]DESPLEGABLES!$A$31),"Moderado",IF(AND(H30=[13]DESPLEGABLES!$A$32),"Mayor",IF(AND(H30=[13]DESPLEGABLES!$A$33),"Catastrófico","")))))))))))))</f>
        <v>Catastrófico</v>
      </c>
      <c r="J30" s="238" t="str">
        <f>IF(AND(I30="Leve"),"20%",IF(AND(I30="Menor"),"40%",IF(AND(I30="Moderado"),"60%",IF(AND(I30="Mayor"),"80%",IF(AND(I30="Catastrófico"),"100%","")))))</f>
        <v>100%</v>
      </c>
      <c r="K30" s="238" t="str">
        <f>IF(AND(G30&lt;="40%",J30="20%"),"Bajo",IF(AND(G30="60%",J30="20%"),"Moderado",IF(AND(G30="80%",J30="20%"),"Moderado",IF(AND(G30="100%",J30="20%"),"Alto",IF(AND(G30="20%",J30="40%"),"Bajo",IF(AND(G30="40%",J30="40%"),"Moderado",IF(AND(G30="60%",J30="40%"),"Moderado",IF(AND(G30="80%",J30="40%"),"Moderado",IF(AND(G30="100%",J30="40%"),"Alto",IF(AND(G30="20%",J30="60%"),"Moderado",IF(AND(G30="40%",J30="60%"),"Moderado",IF(AND(G30="60%",J30="60%"),"Moderado",IF(AND(G30="80%",J30="60%"),"Alto",IF(AND(G30="100%",J30="60%"),"Alto",IF(AND(G30="20%",J30="80%"),"Alto",IF(AND(G30="40%",J30="80%"),"Alto",IF(AND(G30="60%",J30="80%"),"Alto",IF(AND(G30="80%",J30="80%"),"Alto",IF(AND(G30="100%",J30="80%"),"Alto",IF(AND(G30="20%",J30="100%"),"Extremo",IF(AND(G30="40%",J30="100%"),"Extremo",IF(AND(G30="60%",J30="100%"),"Extremo",IF(AND(G30="80%",J30="100%"),"Moderado",IF(AND(G30="100%",J30="100%"),"Extremo",""))))))))))))))))))))))))</f>
        <v>Extremo</v>
      </c>
      <c r="L30" s="119">
        <v>1</v>
      </c>
      <c r="M30" s="138" t="s">
        <v>410</v>
      </c>
      <c r="N30" s="125" t="s">
        <v>67</v>
      </c>
      <c r="O30" s="180">
        <f>IF(N30="Asignado",15,IF(N30="NO asignado",0))</f>
        <v>15</v>
      </c>
      <c r="P30" s="120" t="s">
        <v>68</v>
      </c>
      <c r="Q30" s="180">
        <f>IF(P30="Adecuado",15,IF(P30="Inadecuado",0))</f>
        <v>15</v>
      </c>
      <c r="R30" s="120" t="s">
        <v>69</v>
      </c>
      <c r="S30" s="180">
        <f>IF(R30="Oportuna",15,IF(R30="Inoportuna",0))</f>
        <v>15</v>
      </c>
      <c r="T30" s="120" t="s">
        <v>70</v>
      </c>
      <c r="U30" s="180">
        <f>IF(T30="Prevenir",15,IF(T30="Detectar",10,IF(T30="No es un control",0)))</f>
        <v>15</v>
      </c>
      <c r="V30" s="120" t="s">
        <v>71</v>
      </c>
      <c r="W30" s="180">
        <f>IF(V30="Confiable",15,IF(V30="No confiable",0))</f>
        <v>15</v>
      </c>
      <c r="X30" s="120" t="s">
        <v>98</v>
      </c>
      <c r="Y30" s="180">
        <f>IF(X30="Se investigan oportunamente",15,IF(X30="No se investigan oportunamente",0))</f>
        <v>0</v>
      </c>
      <c r="Z30" s="120" t="s">
        <v>90</v>
      </c>
      <c r="AA30" s="180">
        <f>IF(Z30="Completa",10,IF(Z30="Incompleta",5,IF(Z30="No existe",0)))</f>
        <v>10</v>
      </c>
      <c r="AB30" s="184">
        <f>O30+Q30+S30+U30+W30+Y30+AA30</f>
        <v>85</v>
      </c>
      <c r="AC30" s="184" t="str">
        <f>IF(AB30&lt;86,"Débil",(IF(AB30&lt;96,"Moderado","Fuerte")))</f>
        <v>Débil</v>
      </c>
      <c r="AD30" s="184" t="s">
        <v>74</v>
      </c>
      <c r="AE30" s="184" t="str">
        <f>IF(OR(AND(AC30="Fuerte",AD30="Moderado"),AND(AC30="Moderado",AD30="Fuerte"),AND(AC30="Moderado",AD30="Moderado")),"Moderado",IF(OR(AND(AC30="Fuerte",AD30="Débil"),AND(AC30="Moderado",AD30="Débil"),AND(AC30="Débil")),"Débil",IF(AND(AC30="Fuerte",AD30="Fuerte"),"Fuerte")))</f>
        <v>Débil</v>
      </c>
      <c r="AF30" s="184" t="str">
        <f>IF(AE30="Fuerte","100",IF(AE30="Moderado","50",IF(AE30="Débil","0")))</f>
        <v>0</v>
      </c>
      <c r="AG30" s="240">
        <v>2</v>
      </c>
      <c r="AH30" s="240">
        <f>(AF30+AF31+AF32+AF33+AF34)/AG30</f>
        <v>0</v>
      </c>
      <c r="AI30" s="240" t="str">
        <f>IF(AH30&lt;50,"Débil",IF(AH30&lt;=99,"Moderado",IF(AH30=100,"Fuerte",IF(AH30="","ERROR"))))</f>
        <v>Débil</v>
      </c>
      <c r="AJ30" s="240" t="s">
        <v>75</v>
      </c>
      <c r="AK30" s="246">
        <f>IF(AI30="Débil",0,IF(AND(AI30="Moderado",AJ30="Directamente"),20%,IF(AND(AI30="Moderado",AJ30="No disminuye"),0,IF(AND(AI30="Fuerte",AJ30="Directamente"),40%,IF(AND(AI30="Fuerte",AJ30="No disminuye"),0)))))</f>
        <v>0</v>
      </c>
      <c r="AL30" s="236">
        <f>G30-AK30</f>
        <v>1</v>
      </c>
      <c r="AM30" s="238" t="str">
        <f>IF(AL30=100%,"Casi Seguro",IF(AL30=80,"Probable",IF(AL30=60%,"Posible",IF(AL30=40%,"Improbable",IF(AL30=20%,"Rara Vez",IF(AL30=0,"Rara Vez",IF(AL30&lt;0,"Rara Vez")))))))</f>
        <v>Casi Seguro</v>
      </c>
      <c r="AN30" s="247" t="s">
        <v>76</v>
      </c>
      <c r="AO30" s="235">
        <f>IF(AI30="Débil",0,IF(AND(AI30="Moderado",AN30="Directamente"),20%,IF(AND(AI30="Moderado",AN30="Indirectamente"),0,IF(AND(AI30="Moderado",AN30="No disminuye"),0,IF(AND(AI30="Fuerte",AN30="Directamente"),40%,IF(AND(AI30="Fuerte",AN30="Indirectamente"),20%,IF(AND(AI30="Fuerte",AN30="No disminuye"),0)))))))</f>
        <v>0</v>
      </c>
      <c r="AP30" s="236">
        <f>J30-AO30</f>
        <v>1</v>
      </c>
      <c r="AQ30" s="238" t="str">
        <f>IF(AP30=100%,"Catastrófico",IF(AP30=80%,"Mayor",IF(AP30=60%,"Moderado",IF(AP30&lt;=60%,"Moderado"))))</f>
        <v>Catastrófico</v>
      </c>
      <c r="AR30" s="240" t="str">
        <f>IF(OR(AND(AQ30="Moderado",AM30="Rara Vez"),AND(AQ30="Moderado",AM30="Improbable")),"Moderado",IF(OR(AND(AQ30="Mayor",AM30="Improbable"),AND(AQ30="Mayor",AM30="Rara Vez"),AND(AQ30="Moderado",AM30="Probable"),AND(AQ30="Moderado",AM30="Posible")),"Alto",IF(OR(AND(AQ30="Moderado",AM30="Casi Seguro"),AND(AQ30="Mayor",AM30="Posible"),AND(AQ30="Mayor",AM30="Probable"),AND(AQ30="Mayor",AM30="Casi Seguro")),"Extremo",IF(AQ30="Catastrófico","Extremo"))))</f>
        <v>Extremo</v>
      </c>
      <c r="AS30" s="249" t="s">
        <v>77</v>
      </c>
      <c r="AT30" s="122"/>
      <c r="AU30" s="121"/>
      <c r="AV30" s="123"/>
      <c r="AW30" s="123"/>
      <c r="AX30" s="124"/>
      <c r="AY30" s="121"/>
      <c r="AZ30" s="233" t="s">
        <v>411</v>
      </c>
      <c r="BA30" s="233" t="s">
        <v>93</v>
      </c>
    </row>
    <row r="31" spans="1:53" s="86" customFormat="1" ht="24" customHeight="1" x14ac:dyDescent="0.25">
      <c r="A31" s="244"/>
      <c r="B31" s="227"/>
      <c r="C31" s="245"/>
      <c r="D31" s="245"/>
      <c r="E31" s="245"/>
      <c r="F31" s="238"/>
      <c r="G31" s="238"/>
      <c r="H31" s="241"/>
      <c r="I31" s="238"/>
      <c r="J31" s="238"/>
      <c r="K31" s="238"/>
      <c r="L31" s="119">
        <v>2</v>
      </c>
      <c r="M31" s="138" t="s">
        <v>412</v>
      </c>
      <c r="N31" s="125" t="s">
        <v>67</v>
      </c>
      <c r="O31" s="180">
        <f t="shared" ref="O31:O34" si="55">IF(N31="Asignado",15,IF(N31="NO asignado",0))</f>
        <v>15</v>
      </c>
      <c r="P31" s="120" t="s">
        <v>68</v>
      </c>
      <c r="Q31" s="180">
        <f t="shared" ref="Q31:Q34" si="56">IF(P31="Adecuado",15,IF(P31="Inadecuado",0))</f>
        <v>15</v>
      </c>
      <c r="R31" s="120" t="s">
        <v>69</v>
      </c>
      <c r="S31" s="180">
        <f t="shared" ref="S31:S34" si="57">IF(R31="Oportuna",15,IF(R31="Inoportuna",0))</f>
        <v>15</v>
      </c>
      <c r="T31" s="120" t="s">
        <v>70</v>
      </c>
      <c r="U31" s="180">
        <f t="shared" ref="U31:U34" si="58">IF(T31="Prevenir",15,IF(T31="Detectar",10,IF(T31="No es un control",0)))</f>
        <v>15</v>
      </c>
      <c r="V31" s="120" t="s">
        <v>99</v>
      </c>
      <c r="W31" s="180">
        <f t="shared" ref="W31:W34" si="59">IF(V31="Confiable",15,IF(V31="No confiable",0))</f>
        <v>0</v>
      </c>
      <c r="X31" s="120" t="s">
        <v>72</v>
      </c>
      <c r="Y31" s="180">
        <f t="shared" ref="Y31:Y34" si="60">IF(X31="Se investigan oportunamente",15,IF(X31="No se investigan oportunamente",0))</f>
        <v>15</v>
      </c>
      <c r="Z31" s="120" t="s">
        <v>90</v>
      </c>
      <c r="AA31" s="180">
        <f t="shared" ref="AA31:AA34" si="61">IF(Z31="Completa",10,IF(Z31="Incompleta",5,IF(Z31="No existe",0)))</f>
        <v>10</v>
      </c>
      <c r="AB31" s="184">
        <f t="shared" ref="AB31:AB34" si="62">O31+Q31+S31+U31+W31+Y31+AA31</f>
        <v>85</v>
      </c>
      <c r="AC31" s="184" t="str">
        <f t="shared" ref="AC31:AC34" si="63">IF(AB31&lt;86,"Débil",(IF(AB31&lt;96,"Moderado","Fuerte")))</f>
        <v>Débil</v>
      </c>
      <c r="AD31" s="184" t="s">
        <v>74</v>
      </c>
      <c r="AE31" s="184" t="str">
        <f t="shared" ref="AE31:AE34" si="64">IF(OR(AND(AC31="Fuerte",AD31="Moderado"),AND(AC31="Moderado",AD31="Fuerte"),AND(AC31="Moderado",AD31="Moderado")),"Moderado",IF(OR(AND(AC31="Fuerte",AD31="Débil"),AND(AC31="Moderado",AD31="Débil"),AND(AC31="Débil")),"Débil",IF(AND(AC31="Fuerte",AD31="Fuerte"),"Fuerte")))</f>
        <v>Débil</v>
      </c>
      <c r="AF31" s="184" t="str">
        <f t="shared" ref="AF31:AF34" si="65">IF(AE31="Fuerte","100",IF(AE31="Moderado","50",IF(AE31="Débil","0")))</f>
        <v>0</v>
      </c>
      <c r="AG31" s="240"/>
      <c r="AH31" s="240"/>
      <c r="AI31" s="240"/>
      <c r="AJ31" s="240"/>
      <c r="AK31" s="246"/>
      <c r="AL31" s="237"/>
      <c r="AM31" s="238"/>
      <c r="AN31" s="247"/>
      <c r="AO31" s="235"/>
      <c r="AP31" s="237"/>
      <c r="AQ31" s="238"/>
      <c r="AR31" s="240"/>
      <c r="AS31" s="249"/>
      <c r="AT31" s="122"/>
      <c r="AU31" s="121"/>
      <c r="AV31" s="123"/>
      <c r="AW31" s="123"/>
      <c r="AX31" s="124"/>
      <c r="AY31" s="121"/>
      <c r="AZ31" s="250"/>
      <c r="BA31" s="234"/>
    </row>
    <row r="32" spans="1:53" s="86" customFormat="1" ht="24" customHeight="1" x14ac:dyDescent="0.25">
      <c r="A32" s="244"/>
      <c r="B32" s="227"/>
      <c r="C32" s="245"/>
      <c r="D32" s="245"/>
      <c r="E32" s="245"/>
      <c r="F32" s="238"/>
      <c r="G32" s="238"/>
      <c r="H32" s="241"/>
      <c r="I32" s="238"/>
      <c r="J32" s="238"/>
      <c r="K32" s="238"/>
      <c r="L32" s="119">
        <v>3</v>
      </c>
      <c r="M32" s="133"/>
      <c r="N32" s="125"/>
      <c r="O32" s="180" t="b">
        <f t="shared" si="55"/>
        <v>0</v>
      </c>
      <c r="P32" s="120"/>
      <c r="Q32" s="180" t="b">
        <f t="shared" si="56"/>
        <v>0</v>
      </c>
      <c r="R32" s="120"/>
      <c r="S32" s="180" t="b">
        <f t="shared" si="57"/>
        <v>0</v>
      </c>
      <c r="T32" s="120"/>
      <c r="U32" s="180" t="b">
        <f t="shared" si="58"/>
        <v>0</v>
      </c>
      <c r="V32" s="120"/>
      <c r="W32" s="180" t="b">
        <f t="shared" si="59"/>
        <v>0</v>
      </c>
      <c r="X32" s="120"/>
      <c r="Y32" s="180" t="b">
        <f t="shared" si="60"/>
        <v>0</v>
      </c>
      <c r="Z32" s="120"/>
      <c r="AA32" s="180" t="b">
        <f t="shared" si="61"/>
        <v>0</v>
      </c>
      <c r="AB32" s="184">
        <f t="shared" si="62"/>
        <v>0</v>
      </c>
      <c r="AC32" s="184" t="str">
        <f t="shared" si="63"/>
        <v>Débil</v>
      </c>
      <c r="AD32" s="184"/>
      <c r="AE32" s="184" t="str">
        <f t="shared" si="64"/>
        <v>Débil</v>
      </c>
      <c r="AF32" s="184" t="str">
        <f t="shared" si="65"/>
        <v>0</v>
      </c>
      <c r="AG32" s="240"/>
      <c r="AH32" s="240"/>
      <c r="AI32" s="240"/>
      <c r="AJ32" s="240"/>
      <c r="AK32" s="246"/>
      <c r="AL32" s="237"/>
      <c r="AM32" s="238"/>
      <c r="AN32" s="247"/>
      <c r="AO32" s="235"/>
      <c r="AP32" s="237"/>
      <c r="AQ32" s="238"/>
      <c r="AR32" s="240"/>
      <c r="AS32" s="249"/>
      <c r="AT32" s="122"/>
      <c r="AU32" s="121"/>
      <c r="AV32" s="123"/>
      <c r="AW32" s="123"/>
      <c r="AX32" s="124"/>
      <c r="AY32" s="121"/>
      <c r="AZ32" s="234"/>
      <c r="BA32" s="234"/>
    </row>
    <row r="33" spans="1:53" s="86" customFormat="1" ht="24" customHeight="1" x14ac:dyDescent="0.25">
      <c r="A33" s="244"/>
      <c r="B33" s="227"/>
      <c r="C33" s="245"/>
      <c r="D33" s="245"/>
      <c r="E33" s="245"/>
      <c r="F33" s="238"/>
      <c r="G33" s="238"/>
      <c r="H33" s="241"/>
      <c r="I33" s="238"/>
      <c r="J33" s="238"/>
      <c r="K33" s="238"/>
      <c r="L33" s="119">
        <v>4</v>
      </c>
      <c r="M33" s="133"/>
      <c r="N33" s="125"/>
      <c r="O33" s="180" t="b">
        <f t="shared" si="55"/>
        <v>0</v>
      </c>
      <c r="P33" s="120"/>
      <c r="Q33" s="180" t="b">
        <f t="shared" si="56"/>
        <v>0</v>
      </c>
      <c r="R33" s="120"/>
      <c r="S33" s="180" t="b">
        <f t="shared" si="57"/>
        <v>0</v>
      </c>
      <c r="T33" s="120"/>
      <c r="U33" s="180" t="b">
        <f t="shared" si="58"/>
        <v>0</v>
      </c>
      <c r="V33" s="120"/>
      <c r="W33" s="180" t="b">
        <f t="shared" si="59"/>
        <v>0</v>
      </c>
      <c r="X33" s="120"/>
      <c r="Y33" s="180" t="b">
        <f t="shared" si="60"/>
        <v>0</v>
      </c>
      <c r="Z33" s="120"/>
      <c r="AA33" s="180" t="b">
        <f t="shared" si="61"/>
        <v>0</v>
      </c>
      <c r="AB33" s="184">
        <f t="shared" si="62"/>
        <v>0</v>
      </c>
      <c r="AC33" s="184" t="str">
        <f t="shared" si="63"/>
        <v>Débil</v>
      </c>
      <c r="AD33" s="184"/>
      <c r="AE33" s="184" t="str">
        <f t="shared" si="64"/>
        <v>Débil</v>
      </c>
      <c r="AF33" s="184" t="str">
        <f t="shared" si="65"/>
        <v>0</v>
      </c>
      <c r="AG33" s="240"/>
      <c r="AH33" s="240"/>
      <c r="AI33" s="240"/>
      <c r="AJ33" s="240"/>
      <c r="AK33" s="246"/>
      <c r="AL33" s="237"/>
      <c r="AM33" s="238"/>
      <c r="AN33" s="247"/>
      <c r="AO33" s="235"/>
      <c r="AP33" s="237"/>
      <c r="AQ33" s="238"/>
      <c r="AR33" s="240"/>
      <c r="AS33" s="249"/>
      <c r="AT33" s="122"/>
      <c r="AU33" s="121"/>
      <c r="AV33" s="123"/>
      <c r="AW33" s="123"/>
      <c r="AX33" s="124"/>
      <c r="AY33" s="121"/>
      <c r="AZ33" s="234"/>
      <c r="BA33" s="234"/>
    </row>
    <row r="34" spans="1:53" s="86" customFormat="1" ht="24" customHeight="1" x14ac:dyDescent="0.25">
      <c r="A34" s="244"/>
      <c r="B34" s="227"/>
      <c r="C34" s="245"/>
      <c r="D34" s="245"/>
      <c r="E34" s="245"/>
      <c r="F34" s="238"/>
      <c r="G34" s="238"/>
      <c r="H34" s="241"/>
      <c r="I34" s="238"/>
      <c r="J34" s="238"/>
      <c r="K34" s="238"/>
      <c r="L34" s="119">
        <v>5</v>
      </c>
      <c r="M34" s="133"/>
      <c r="N34" s="125"/>
      <c r="O34" s="180" t="b">
        <f t="shared" si="55"/>
        <v>0</v>
      </c>
      <c r="P34" s="120"/>
      <c r="Q34" s="180" t="b">
        <f t="shared" si="56"/>
        <v>0</v>
      </c>
      <c r="R34" s="120"/>
      <c r="S34" s="180" t="b">
        <f t="shared" si="57"/>
        <v>0</v>
      </c>
      <c r="T34" s="120"/>
      <c r="U34" s="180" t="b">
        <f t="shared" si="58"/>
        <v>0</v>
      </c>
      <c r="V34" s="120"/>
      <c r="W34" s="180" t="b">
        <f t="shared" si="59"/>
        <v>0</v>
      </c>
      <c r="X34" s="120"/>
      <c r="Y34" s="180" t="b">
        <f t="shared" si="60"/>
        <v>0</v>
      </c>
      <c r="Z34" s="120"/>
      <c r="AA34" s="180" t="b">
        <f t="shared" si="61"/>
        <v>0</v>
      </c>
      <c r="AB34" s="184">
        <f t="shared" si="62"/>
        <v>0</v>
      </c>
      <c r="AC34" s="184" t="str">
        <f t="shared" si="63"/>
        <v>Débil</v>
      </c>
      <c r="AD34" s="184"/>
      <c r="AE34" s="184" t="str">
        <f t="shared" si="64"/>
        <v>Débil</v>
      </c>
      <c r="AF34" s="184" t="str">
        <f t="shared" si="65"/>
        <v>0</v>
      </c>
      <c r="AG34" s="240"/>
      <c r="AH34" s="240"/>
      <c r="AI34" s="240"/>
      <c r="AJ34" s="240"/>
      <c r="AK34" s="246"/>
      <c r="AL34" s="237"/>
      <c r="AM34" s="238"/>
      <c r="AN34" s="247"/>
      <c r="AO34" s="235"/>
      <c r="AP34" s="237"/>
      <c r="AQ34" s="238"/>
      <c r="AR34" s="240"/>
      <c r="AS34" s="249"/>
      <c r="AT34" s="122"/>
      <c r="AU34" s="121"/>
      <c r="AV34" s="123"/>
      <c r="AW34" s="123"/>
      <c r="AX34" s="124"/>
      <c r="AY34" s="121"/>
      <c r="AZ34" s="234"/>
      <c r="BA34" s="234"/>
    </row>
    <row r="35" spans="1:53" s="86" customFormat="1" ht="24" customHeight="1" x14ac:dyDescent="0.25">
      <c r="A35" s="265" t="s">
        <v>100</v>
      </c>
      <c r="B35" s="268" t="s">
        <v>115</v>
      </c>
      <c r="C35" s="280" t="s">
        <v>763</v>
      </c>
      <c r="D35" s="245" t="s">
        <v>769</v>
      </c>
      <c r="E35" s="245" t="s">
        <v>89</v>
      </c>
      <c r="F35" s="238" t="str">
        <f>IF(AND(E35=[7]calificación_impacto_corrupción!$B$2),[7]calificación_impacto_corrupción!$A$2,IF(AND(E35=[7]calificación_impacto_corrupción!$B$3),[7]calificación_impacto_corrupción!$A$3,IF(AND(E35=[7]calificación_impacto_corrupción!$B$4),[7]calificación_impacto_corrupción!$A$4,IF(AND(E35=[7]calificación_impacto_corrupción!$B$5),[7]calificación_impacto_corrupción!$A$5,IF(AND(E35=[7]calificación_impacto_corrupción!$B$6),[7]calificación_impacto_corrupción!$A$6,FALSE)))))</f>
        <v>Posible</v>
      </c>
      <c r="G35" s="238" t="str">
        <f>IF(AND(E35=[7]calificación_impacto_corrupción!$B$6),"20%",IF(AND(E35=[7]calificación_impacto_corrupción!$B$5),"40%",IF(AND(E35=[7]calificación_impacto_corrupción!$B$4),"60%",IF(AND(E35=[7]calificación_impacto_corrupción!$B$3),"80%",IF(AND(E35=[7]calificación_impacto_corrupción!$B$2),"100%",FALSE)))))</f>
        <v>60%</v>
      </c>
      <c r="H35" s="241" t="s">
        <v>65</v>
      </c>
      <c r="I35" s="238" t="str">
        <f>IF(AND(H35=[13]DESPLEGABLES!$A$19),"Leve",IF(AND(H35=[13]DESPLEGABLES!$A$20),"Menor",IF(AND(H35=[13]DESPLEGABLES!$A$21),"Moderado",IF(AND(H35=[13]DESPLEGABLES!$A$22),"Mayor",IF(AND(H35=[13]DESPLEGABLES!$A$23),"Catastrófico",IF(AND(H35=[13]DESPLEGABLES!$A$25),"Leve",IF(AND(H35=[13]DESPLEGABLES!$A$26),"Menor",IF(AND(H35=[13]DESPLEGABLES!$A$27),"Moderado",IF(AND(H35=[13]DESPLEGABLES!$A$28),"Mayor",IF(AND(H35=[13]DESPLEGABLES!$A$29),"Catastrófico",IF(AND(H35=[13]DESPLEGABLES!$A$31),"Moderado",IF(AND(H35=[13]DESPLEGABLES!$A$32),"Mayor",IF(AND(H35=[13]DESPLEGABLES!$A$33),"Catastrófico","")))))))))))))</f>
        <v>Catastrófico</v>
      </c>
      <c r="J35" s="238" t="str">
        <f>IF(AND(I35="Leve"),"20%",IF(AND(I35="Menor"),"40%",IF(AND(I35="Moderado"),"60%",IF(AND(I35="Mayor"),"80%",IF(AND(I35="Catastrófico"),"100%","")))))</f>
        <v>100%</v>
      </c>
      <c r="K35" s="238" t="str">
        <f>IF(AND(G35&lt;="40%",J35="20%"),"Bajo",IF(AND(G35="60%",J35="20%"),"Moderado",IF(AND(G35="80%",J35="20%"),"Moderado",IF(AND(G35="100%",J35="20%"),"Alto",IF(AND(G35="20%",J35="40%"),"Bajo",IF(AND(G35="40%",J35="40%"),"Moderado",IF(AND(G35="60%",J35="40%"),"Moderado",IF(AND(G35="80%",J35="40%"),"Moderado",IF(AND(G35="100%",J35="40%"),"Alto",IF(AND(G35="20%",J35="60%"),"Moderado",IF(AND(G35="40%",J35="60%"),"Moderado",IF(AND(G35="60%",J35="60%"),"Moderado",IF(AND(G35="80%",J35="60%"),"Alto",IF(AND(G35="100%",J35="60%"),"Alto",IF(AND(G35="20%",J35="80%"),"Alto",IF(AND(G35="40%",J35="80%"),"Alto",IF(AND(G35="60%",J35="80%"),"Alto",IF(AND(G35="80%",J35="80%"),"Alto",IF(AND(G35="100%",J35="80%"),"Alto",IF(AND(G35="20%",J35="100%"),"Extremo",IF(AND(G35="40%",J35="100%"),"Extremo",IF(AND(G35="60%",J35="100%"),"Extremo",IF(AND(G35="80%",J35="100%"),"Moderado",IF(AND(G35="100%",J35="100%"),"Extremo",""))))))))))))))))))))))))</f>
        <v>Extremo</v>
      </c>
      <c r="L35" s="119">
        <v>1</v>
      </c>
      <c r="M35" s="136" t="s">
        <v>770</v>
      </c>
      <c r="N35" s="115" t="s">
        <v>67</v>
      </c>
      <c r="O35" s="180">
        <f>IF(N35="Asignado",15,IF(N35="NO asignado",0))</f>
        <v>15</v>
      </c>
      <c r="P35" s="120" t="s">
        <v>68</v>
      </c>
      <c r="Q35" s="180">
        <f>IF(P35="Adecuado",15,IF(P35="Inadecuado",0))</f>
        <v>15</v>
      </c>
      <c r="R35" s="120" t="s">
        <v>69</v>
      </c>
      <c r="S35" s="180">
        <f>IF(R35="Oportuna",15,IF(R35="Inoportuna",0))</f>
        <v>15</v>
      </c>
      <c r="T35" s="120" t="s">
        <v>70</v>
      </c>
      <c r="U35" s="180">
        <f>IF(T35="Prevenir",15,IF(T35="Detectar",10,IF(T35="No es un control",0)))</f>
        <v>15</v>
      </c>
      <c r="V35" s="120" t="s">
        <v>71</v>
      </c>
      <c r="W35" s="180">
        <f>IF(V35="Confiable",15,IF(V35="No confiable",0))</f>
        <v>15</v>
      </c>
      <c r="X35" s="120" t="s">
        <v>72</v>
      </c>
      <c r="Y35" s="180">
        <f>IF(X35="Se investigan oportunamente",15,IF(X35="No se investigan oportunamente",0))</f>
        <v>15</v>
      </c>
      <c r="Z35" s="120" t="s">
        <v>90</v>
      </c>
      <c r="AA35" s="180">
        <f>IF(Z35="Completa",10,IF(Z35="Incompleta",5,IF(Z35="No existe",0)))</f>
        <v>10</v>
      </c>
      <c r="AB35" s="184">
        <f>O35+Q35+S35+U35+W35+Y35+AA35</f>
        <v>100</v>
      </c>
      <c r="AC35" s="184" t="str">
        <f>IF(AB35&lt;86,"Débil",(IF(AB35&lt;96,"Moderado","Fuerte")))</f>
        <v>Fuerte</v>
      </c>
      <c r="AD35" s="184" t="s">
        <v>74</v>
      </c>
      <c r="AE35" s="184" t="str">
        <f>IF(OR(AND(AC35="Fuerte",AD35="Moderado"),AND(AC35="Moderado",AD35="Fuerte"),AND(AC35="Moderado",AD35="Moderado")),"Moderado",IF(OR(AND(AC35="Fuerte",AD35="Débil"),AND(AC35="Moderado",AD35="Débil"),AND(AC35="Débil")),"Débil",IF(AND(AC35="Fuerte",AD35="Fuerte"),"Fuerte")))</f>
        <v>Fuerte</v>
      </c>
      <c r="AF35" s="184" t="str">
        <f>IF(AE35="Fuerte","100",IF(AE35="Moderado","50",IF(AE35="Débil","0")))</f>
        <v>100</v>
      </c>
      <c r="AG35" s="240">
        <v>3</v>
      </c>
      <c r="AH35" s="240">
        <f>(AF35+AF36+AF37+AF38+AF39)/AG35</f>
        <v>100</v>
      </c>
      <c r="AI35" s="240" t="str">
        <f>IF(AH35&lt;50,"Débil",IF(AH35&lt;=99,"Moderado",IF(AH35=100,"Fuerte",IF(AH35="","ERROR"))))</f>
        <v>Fuerte</v>
      </c>
      <c r="AJ35" s="240" t="s">
        <v>75</v>
      </c>
      <c r="AK35" s="246">
        <f>IF(AI35="Débil",0,IF(AND(AI35="Moderado",AJ35="Directamente"),20%,IF(AND(AI35="Moderado",AJ35="No disminuye"),0,IF(AND(AI35="Fuerte",AJ35="Directamente"),40%,IF(AND(AI35="Fuerte",AJ35="No disminuye"),0)))))</f>
        <v>0.4</v>
      </c>
      <c r="AL35" s="236">
        <f>AK35-G35</f>
        <v>-0.19999999999999996</v>
      </c>
      <c r="AM35" s="238" t="s">
        <v>764</v>
      </c>
      <c r="AN35" s="247" t="s">
        <v>96</v>
      </c>
      <c r="AO35" s="235">
        <f>IF(AI35="Débil",0,IF(AND(AI35="Moderado",AN35="Directamente"),20%,IF(AND(AI35="Moderado",AN35="Indirectamente"),0,IF(AND(AI35="Moderado",AN35="No disminuye"),0,IF(AND(AI35="Fuerte",AN35="Directamente"),40%,IF(AND(AI35="Fuerte",AN35="Indirectamente"),20%,IF(AND(AI35="Fuerte",AN35="No disminuye"),0)))))))</f>
        <v>0</v>
      </c>
      <c r="AP35" s="236">
        <f>J35-AO35</f>
        <v>1</v>
      </c>
      <c r="AQ35" s="238" t="s">
        <v>765</v>
      </c>
      <c r="AR35" s="240" t="str">
        <f>IF(OR(AND(AQ35="Moderado",AM35="Rara Vez"),AND(AQ35="Moderado",AM35="Improbable")),"Moderado",IF(OR(AND(AQ35="Mayor",AM35="Improbable"),AND(AQ35="Mayor",AM35="Rara Vez"),AND(AQ35="Moderado",AM35="Probable"),AND(AQ35="Moderado",AM35="Posible")),"Alto",IF(OR(AND(AQ35="Moderado",AM35="Casi Seguro"),AND(AQ35="Mayor",AM35="Posible"),AND(AQ35="Mayor",AM35="Probable"),AND(AQ35="Mayor",AM35="Casi Seguro")),"Extremo",IF(AQ35="Catastrófico","Extremo"))))</f>
        <v>Extremo</v>
      </c>
      <c r="AS35" s="249" t="s">
        <v>77</v>
      </c>
      <c r="AT35" s="122"/>
      <c r="AU35" s="122"/>
      <c r="AV35" s="122"/>
      <c r="AW35" s="122"/>
      <c r="AX35" s="122"/>
      <c r="AY35" s="122"/>
      <c r="AZ35" s="233"/>
      <c r="BA35" s="233"/>
    </row>
    <row r="36" spans="1:53" s="86" customFormat="1" ht="24" customHeight="1" x14ac:dyDescent="0.25">
      <c r="A36" s="266"/>
      <c r="B36" s="269"/>
      <c r="C36" s="281"/>
      <c r="D36" s="245"/>
      <c r="E36" s="245"/>
      <c r="F36" s="238"/>
      <c r="G36" s="238"/>
      <c r="H36" s="241"/>
      <c r="I36" s="238"/>
      <c r="J36" s="238"/>
      <c r="K36" s="238"/>
      <c r="L36" s="119">
        <v>2</v>
      </c>
      <c r="M36" s="138" t="s">
        <v>771</v>
      </c>
      <c r="N36" s="115" t="s">
        <v>67</v>
      </c>
      <c r="O36" s="180">
        <f t="shared" ref="O36:O39" si="66">IF(N36="Asignado",15,IF(N36="NO asignado",0))</f>
        <v>15</v>
      </c>
      <c r="P36" s="120" t="s">
        <v>68</v>
      </c>
      <c r="Q36" s="180">
        <f t="shared" ref="Q36:Q39" si="67">IF(P36="Adecuado",15,IF(P36="Inadecuado",0))</f>
        <v>15</v>
      </c>
      <c r="R36" s="120" t="s">
        <v>69</v>
      </c>
      <c r="S36" s="180">
        <f t="shared" ref="S36:S39" si="68">IF(R36="Oportuna",15,IF(R36="Inoportuna",0))</f>
        <v>15</v>
      </c>
      <c r="T36" s="120" t="s">
        <v>70</v>
      </c>
      <c r="U36" s="180">
        <f t="shared" ref="U36:U39" si="69">IF(T36="Prevenir",15,IF(T36="Detectar",10,IF(T36="No es un control",0)))</f>
        <v>15</v>
      </c>
      <c r="V36" s="120" t="s">
        <v>71</v>
      </c>
      <c r="W36" s="180">
        <f t="shared" ref="W36:W39" si="70">IF(V36="Confiable",15,IF(V36="No confiable",0))</f>
        <v>15</v>
      </c>
      <c r="X36" s="120" t="s">
        <v>72</v>
      </c>
      <c r="Y36" s="180">
        <f t="shared" ref="Y36:Y39" si="71">IF(X36="Se investigan oportunamente",15,IF(X36="No se investigan oportunamente",0))</f>
        <v>15</v>
      </c>
      <c r="Z36" s="120" t="s">
        <v>90</v>
      </c>
      <c r="AA36" s="180">
        <f t="shared" ref="AA36:AA39" si="72">IF(Z36="Completa",10,IF(Z36="Incompleta",5,IF(Z36="No existe",0)))</f>
        <v>10</v>
      </c>
      <c r="AB36" s="184">
        <f t="shared" ref="AB36:AB39" si="73">O36+Q36+S36+U36+W36+Y36+AA36</f>
        <v>100</v>
      </c>
      <c r="AC36" s="184" t="str">
        <f t="shared" ref="AC36:AC39" si="74">IF(AB36&lt;86,"Débil",(IF(AB36&lt;96,"Moderado","Fuerte")))</f>
        <v>Fuerte</v>
      </c>
      <c r="AD36" s="184" t="s">
        <v>74</v>
      </c>
      <c r="AE36" s="184" t="str">
        <f t="shared" ref="AE36:AE39" si="75">IF(OR(AND(AC36="Fuerte",AD36="Moderado"),AND(AC36="Moderado",AD36="Fuerte"),AND(AC36="Moderado",AD36="Moderado")),"Moderado",IF(OR(AND(AC36="Fuerte",AD36="Débil"),AND(AC36="Moderado",AD36="Débil"),AND(AC36="Débil")),"Débil",IF(AND(AC36="Fuerte",AD36="Fuerte"),"Fuerte")))</f>
        <v>Fuerte</v>
      </c>
      <c r="AF36" s="184" t="str">
        <f t="shared" ref="AF36:AF39" si="76">IF(AE36="Fuerte","100",IF(AE36="Moderado","50",IF(AE36="Débil","0")))</f>
        <v>100</v>
      </c>
      <c r="AG36" s="240"/>
      <c r="AH36" s="240"/>
      <c r="AI36" s="240"/>
      <c r="AJ36" s="240"/>
      <c r="AK36" s="246"/>
      <c r="AL36" s="237"/>
      <c r="AM36" s="238"/>
      <c r="AN36" s="247"/>
      <c r="AO36" s="235"/>
      <c r="AP36" s="237"/>
      <c r="AQ36" s="238"/>
      <c r="AR36" s="240"/>
      <c r="AS36" s="249"/>
      <c r="AT36" s="122"/>
      <c r="AU36" s="122"/>
      <c r="AV36" s="122"/>
      <c r="AW36" s="122"/>
      <c r="AX36" s="122"/>
      <c r="AY36" s="122"/>
      <c r="AZ36" s="250"/>
      <c r="BA36" s="250"/>
    </row>
    <row r="37" spans="1:53" s="86" customFormat="1" ht="24" customHeight="1" x14ac:dyDescent="0.25">
      <c r="A37" s="266"/>
      <c r="B37" s="269"/>
      <c r="C37" s="281"/>
      <c r="D37" s="245"/>
      <c r="E37" s="245"/>
      <c r="F37" s="238"/>
      <c r="G37" s="238"/>
      <c r="H37" s="241"/>
      <c r="I37" s="238"/>
      <c r="J37" s="238"/>
      <c r="K37" s="238"/>
      <c r="L37" s="119">
        <v>3</v>
      </c>
      <c r="M37" s="136" t="s">
        <v>772</v>
      </c>
      <c r="N37" s="115" t="s">
        <v>67</v>
      </c>
      <c r="O37" s="180">
        <f t="shared" si="66"/>
        <v>15</v>
      </c>
      <c r="P37" s="120" t="s">
        <v>68</v>
      </c>
      <c r="Q37" s="180">
        <f t="shared" si="67"/>
        <v>15</v>
      </c>
      <c r="R37" s="120" t="s">
        <v>69</v>
      </c>
      <c r="S37" s="180">
        <f t="shared" si="68"/>
        <v>15</v>
      </c>
      <c r="T37" s="120" t="s">
        <v>70</v>
      </c>
      <c r="U37" s="180">
        <f t="shared" si="69"/>
        <v>15</v>
      </c>
      <c r="V37" s="120" t="s">
        <v>71</v>
      </c>
      <c r="W37" s="180">
        <f t="shared" si="70"/>
        <v>15</v>
      </c>
      <c r="X37" s="120" t="s">
        <v>72</v>
      </c>
      <c r="Y37" s="180">
        <f t="shared" si="71"/>
        <v>15</v>
      </c>
      <c r="Z37" s="120" t="s">
        <v>90</v>
      </c>
      <c r="AA37" s="180">
        <f t="shared" si="72"/>
        <v>10</v>
      </c>
      <c r="AB37" s="184">
        <f t="shared" si="73"/>
        <v>100</v>
      </c>
      <c r="AC37" s="184" t="str">
        <f t="shared" si="74"/>
        <v>Fuerte</v>
      </c>
      <c r="AD37" s="184" t="s">
        <v>74</v>
      </c>
      <c r="AE37" s="184" t="str">
        <f t="shared" si="75"/>
        <v>Fuerte</v>
      </c>
      <c r="AF37" s="184" t="str">
        <f t="shared" si="76"/>
        <v>100</v>
      </c>
      <c r="AG37" s="240"/>
      <c r="AH37" s="240"/>
      <c r="AI37" s="240"/>
      <c r="AJ37" s="240"/>
      <c r="AK37" s="246"/>
      <c r="AL37" s="237"/>
      <c r="AM37" s="238"/>
      <c r="AN37" s="247"/>
      <c r="AO37" s="235"/>
      <c r="AP37" s="237"/>
      <c r="AQ37" s="238"/>
      <c r="AR37" s="240"/>
      <c r="AS37" s="249"/>
      <c r="AT37" s="122"/>
      <c r="AU37" s="122"/>
      <c r="AV37" s="122"/>
      <c r="AW37" s="122"/>
      <c r="AX37" s="122"/>
      <c r="AY37" s="122"/>
      <c r="AZ37" s="234"/>
      <c r="BA37" s="234"/>
    </row>
    <row r="38" spans="1:53" s="86" customFormat="1" ht="24" customHeight="1" x14ac:dyDescent="0.25">
      <c r="A38" s="266"/>
      <c r="B38" s="269"/>
      <c r="C38" s="281"/>
      <c r="D38" s="245"/>
      <c r="E38" s="245"/>
      <c r="F38" s="238"/>
      <c r="G38" s="238"/>
      <c r="H38" s="241"/>
      <c r="I38" s="238"/>
      <c r="J38" s="238"/>
      <c r="K38" s="238"/>
      <c r="L38" s="119">
        <v>4</v>
      </c>
      <c r="M38" s="133"/>
      <c r="N38" s="125"/>
      <c r="O38" s="180" t="b">
        <f t="shared" si="66"/>
        <v>0</v>
      </c>
      <c r="P38" s="120"/>
      <c r="Q38" s="180" t="b">
        <f t="shared" si="67"/>
        <v>0</v>
      </c>
      <c r="R38" s="120"/>
      <c r="S38" s="180" t="b">
        <f t="shared" si="68"/>
        <v>0</v>
      </c>
      <c r="T38" s="120"/>
      <c r="U38" s="180" t="b">
        <f t="shared" si="69"/>
        <v>0</v>
      </c>
      <c r="V38" s="120"/>
      <c r="W38" s="180" t="b">
        <f t="shared" si="70"/>
        <v>0</v>
      </c>
      <c r="X38" s="120"/>
      <c r="Y38" s="180" t="b">
        <f t="shared" si="71"/>
        <v>0</v>
      </c>
      <c r="Z38" s="120"/>
      <c r="AA38" s="180" t="b">
        <f t="shared" si="72"/>
        <v>0</v>
      </c>
      <c r="AB38" s="184">
        <f t="shared" si="73"/>
        <v>0</v>
      </c>
      <c r="AC38" s="184" t="str">
        <f t="shared" si="74"/>
        <v>Débil</v>
      </c>
      <c r="AD38" s="184"/>
      <c r="AE38" s="184" t="str">
        <f t="shared" si="75"/>
        <v>Débil</v>
      </c>
      <c r="AF38" s="184" t="str">
        <f t="shared" si="76"/>
        <v>0</v>
      </c>
      <c r="AG38" s="240"/>
      <c r="AH38" s="240"/>
      <c r="AI38" s="240"/>
      <c r="AJ38" s="240"/>
      <c r="AK38" s="246"/>
      <c r="AL38" s="237"/>
      <c r="AM38" s="238"/>
      <c r="AN38" s="247"/>
      <c r="AO38" s="235"/>
      <c r="AP38" s="237"/>
      <c r="AQ38" s="238"/>
      <c r="AR38" s="240"/>
      <c r="AS38" s="249"/>
      <c r="AT38" s="122"/>
      <c r="AU38" s="122"/>
      <c r="AV38" s="122"/>
      <c r="AW38" s="122"/>
      <c r="AX38" s="122"/>
      <c r="AY38" s="122"/>
      <c r="AZ38" s="234"/>
      <c r="BA38" s="234"/>
    </row>
    <row r="39" spans="1:53" s="86" customFormat="1" ht="24" customHeight="1" x14ac:dyDescent="0.25">
      <c r="A39" s="267"/>
      <c r="B39" s="270"/>
      <c r="C39" s="281"/>
      <c r="D39" s="245"/>
      <c r="E39" s="245"/>
      <c r="F39" s="238"/>
      <c r="G39" s="238"/>
      <c r="H39" s="241"/>
      <c r="I39" s="238"/>
      <c r="J39" s="238"/>
      <c r="K39" s="238"/>
      <c r="L39" s="119">
        <v>5</v>
      </c>
      <c r="M39" s="133"/>
      <c r="N39" s="125"/>
      <c r="O39" s="180" t="b">
        <f t="shared" si="66"/>
        <v>0</v>
      </c>
      <c r="P39" s="120"/>
      <c r="Q39" s="180" t="b">
        <f t="shared" si="67"/>
        <v>0</v>
      </c>
      <c r="R39" s="120"/>
      <c r="S39" s="180" t="b">
        <f t="shared" si="68"/>
        <v>0</v>
      </c>
      <c r="T39" s="120"/>
      <c r="U39" s="180" t="b">
        <f t="shared" si="69"/>
        <v>0</v>
      </c>
      <c r="V39" s="120"/>
      <c r="W39" s="180" t="b">
        <f t="shared" si="70"/>
        <v>0</v>
      </c>
      <c r="X39" s="120"/>
      <c r="Y39" s="180" t="b">
        <f t="shared" si="71"/>
        <v>0</v>
      </c>
      <c r="Z39" s="120"/>
      <c r="AA39" s="180" t="b">
        <f t="shared" si="72"/>
        <v>0</v>
      </c>
      <c r="AB39" s="184">
        <f t="shared" si="73"/>
        <v>0</v>
      </c>
      <c r="AC39" s="184" t="str">
        <f t="shared" si="74"/>
        <v>Débil</v>
      </c>
      <c r="AD39" s="184"/>
      <c r="AE39" s="184" t="str">
        <f t="shared" si="75"/>
        <v>Débil</v>
      </c>
      <c r="AF39" s="184" t="str">
        <f t="shared" si="76"/>
        <v>0</v>
      </c>
      <c r="AG39" s="240"/>
      <c r="AH39" s="240"/>
      <c r="AI39" s="240"/>
      <c r="AJ39" s="240"/>
      <c r="AK39" s="246"/>
      <c r="AL39" s="237"/>
      <c r="AM39" s="238"/>
      <c r="AN39" s="247"/>
      <c r="AO39" s="235"/>
      <c r="AP39" s="237"/>
      <c r="AQ39" s="238"/>
      <c r="AR39" s="240"/>
      <c r="AS39" s="249"/>
      <c r="AT39" s="122"/>
      <c r="AU39" s="122"/>
      <c r="AV39" s="122"/>
      <c r="AW39" s="122"/>
      <c r="AX39" s="122"/>
      <c r="AY39" s="122"/>
      <c r="AZ39" s="234"/>
      <c r="BA39" s="234"/>
    </row>
    <row r="40" spans="1:53" s="86" customFormat="1" ht="21.75" customHeight="1" x14ac:dyDescent="0.2">
      <c r="A40" s="638" t="s">
        <v>483</v>
      </c>
      <c r="B40" s="645" t="s">
        <v>177</v>
      </c>
      <c r="C40" s="245" t="s">
        <v>484</v>
      </c>
      <c r="D40" s="245" t="s">
        <v>485</v>
      </c>
      <c r="E40" s="245" t="s">
        <v>94</v>
      </c>
      <c r="F40" s="238" t="str">
        <f>IF(AND(E40=[16]calificación_impacto_corrupción!$B$2),[16]calificación_impacto_corrupción!$A$2,IF(AND(E40=[16]calificación_impacto_corrupción!$B$3),[16]calificación_impacto_corrupción!$A$3,IF(AND(E40=[16]calificación_impacto_corrupción!$B$4),[16]calificación_impacto_corrupción!$A$4,IF(AND(E40=[16]calificación_impacto_corrupción!$B$5),[16]calificación_impacto_corrupción!$A$5,IF(AND(E40=[16]calificación_impacto_corrupción!$B$6),[16]calificación_impacto_corrupción!$A$6,FALSE)))))</f>
        <v>Improbable</v>
      </c>
      <c r="G40" s="238" t="str">
        <f>IF(AND(E40=[16]calificación_impacto_corrupción!$B$6),"20%",IF(AND(E40=[16]calificación_impacto_corrupción!$B$5),"40%",IF(AND(E40=[16]calificación_impacto_corrupción!$B$4),"60%",IF(AND(E40=[16]calificación_impacto_corrupción!$B$3),"80%",IF(AND(E40=[16]calificación_impacto_corrupción!$B$2),"100%",FALSE)))))</f>
        <v>40%</v>
      </c>
      <c r="H40" s="241" t="s">
        <v>65</v>
      </c>
      <c r="I40" s="238" t="str">
        <f>IF(AND(H40=[16]DESPLEGABLES!$A$19),"Leve",IF(AND(H40=[16]DESPLEGABLES!$A$20),"Menor",IF(AND(H40=[16]DESPLEGABLES!$A$21),"Moderado",IF(AND(H40=[16]DESPLEGABLES!$A$22),"Mayor",IF(AND(H40=[16]DESPLEGABLES!$A$23),"Catastrófico",IF(AND(H40=[16]DESPLEGABLES!$A$25),"Leve",IF(AND(H40=[16]DESPLEGABLES!$A$26),"Menor",IF(AND(H40=[16]DESPLEGABLES!$A$27),"Moderado",IF(AND(H40=[16]DESPLEGABLES!$A$28),"Mayor",IF(AND(H40=[16]DESPLEGABLES!$A$29),"Catastrófico",IF(AND(H40=[16]DESPLEGABLES!$A$31),"Moderado",IF(AND(H40=[16]DESPLEGABLES!$A$32),"Mayor",IF(AND(H40=[16]DESPLEGABLES!$A$33),"Catastrófico","")))))))))))))</f>
        <v>Catastrófico</v>
      </c>
      <c r="J40" s="238" t="str">
        <f>IF(AND(I40="Leve"),"20%",IF(AND(I40="Menor"),"40%",IF(AND(I40="Moderado"),"60%",IF(AND(I40="Mayor"),"80%",IF(AND(I40="Catastrófico"),"100%","")))))</f>
        <v>100%</v>
      </c>
      <c r="K40" s="238" t="str">
        <f>IF(AND(G40&lt;="40%",J40="20%"),"Bajo",IF(AND(G40="60%",J40="20%"),"Moderado",IF(AND(G40="80%",J40="20%"),"Moderado",IF(AND(G40="100%",J40="20%"),"Alto",IF(AND(G40="20%",J40="40%"),"Bajo",IF(AND(G40="40%",J40="40%"),"Moderado",IF(AND(G40="60%",J40="40%"),"Moderado",IF(AND(G40="80%",J40="40%"),"Moderado",IF(AND(G40="100%",J40="40%"),"Alto",IF(AND(G40="20%",J40="60%"),"Moderado",IF(AND(G40="40%",J40="60%"),"Moderado",IF(AND(G40="60%",J40="60%"),"Moderado",IF(AND(G40="80%",J40="60%"),"Alto",IF(AND(G40="100%",J40="60%"),"Alto",IF(AND(G40="20%",J40="80%"),"Alto",IF(AND(G40="40%",J40="80%"),"Alto",IF(AND(G40="60%",J40="80%"),"Alto",IF(AND(G40="80%",J40="80%"),"Alto",IF(AND(G40="100%",J40="80%"),"Alto",IF(AND(G40="20%",J40="100%"),"Extremo",IF(AND(G40="40%",J40="100%"),"Extremo",IF(AND(G40="60%",J40="100%"),"Extremo",IF(AND(G40="80%",J40="100%"),"Moderado",IF(AND(G40="100%",J40="100%"),"Extremo",""))))))))))))))))))))))))</f>
        <v>Extremo</v>
      </c>
      <c r="L40" s="119">
        <v>1</v>
      </c>
      <c r="M40" s="136" t="s">
        <v>486</v>
      </c>
      <c r="N40" s="125" t="s">
        <v>67</v>
      </c>
      <c r="O40" s="180">
        <f>IF(N40="Asignado",15,IF(N40="NO asignado",0))</f>
        <v>15</v>
      </c>
      <c r="P40" s="120" t="s">
        <v>68</v>
      </c>
      <c r="Q40" s="180">
        <f>IF(P40="Adecuado",15,IF(P40="Inadecuado",0))</f>
        <v>15</v>
      </c>
      <c r="R40" s="120" t="s">
        <v>69</v>
      </c>
      <c r="S40" s="180">
        <f>IF(R40="Oportuna",15,IF(R40="Inoportuna",0))</f>
        <v>15</v>
      </c>
      <c r="T40" s="120" t="s">
        <v>70</v>
      </c>
      <c r="U40" s="180">
        <f>IF(T40="Prevenir",15,IF(T40="Detectar",10,IF(T40="No es un control",0)))</f>
        <v>15</v>
      </c>
      <c r="V40" s="120" t="s">
        <v>71</v>
      </c>
      <c r="W40" s="180">
        <f>IF(V40="Confiable",15,IF(V40="No confiable",0))</f>
        <v>15</v>
      </c>
      <c r="X40" s="120" t="s">
        <v>72</v>
      </c>
      <c r="Y40" s="180">
        <f>IF(X40="Se investigan oportunamente",15,IF(X40="No se investigan oportunamente",0))</f>
        <v>15</v>
      </c>
      <c r="Z40" s="120" t="s">
        <v>73</v>
      </c>
      <c r="AA40" s="180">
        <f>IF(Z40="Completa",10,IF(Z40="Incompleta",5,IF(Z40="No existe",0)))</f>
        <v>0</v>
      </c>
      <c r="AB40" s="184">
        <f>O40+Q40+S40+U40+W40+Y40+AA40</f>
        <v>90</v>
      </c>
      <c r="AC40" s="184" t="str">
        <f>IF(AB40&lt;86,"Débil",(IF(AB40&lt;96,"Moderado","Fuerte")))</f>
        <v>Moderado</v>
      </c>
      <c r="AD40" s="184" t="s">
        <v>110</v>
      </c>
      <c r="AE40" s="184" t="str">
        <f>IF(OR(AND(AC40="Fuerte",AD40="Moderado"),AND(AC40="Moderado",AD40="Fuerte"),AND(AC40="Moderado",AD40="Moderado")),"Moderado",IF(OR(AND(AC40="Fuerte",AD40="Débil"),AND(AC40="Moderado",AD40="Débil"),AND(AC40="Débil")),"Débil",IF(AND(AC40="Fuerte",AD40="Fuerte"),"Fuerte")))</f>
        <v>Débil</v>
      </c>
      <c r="AF40" s="184" t="str">
        <f>IF(AE40="Fuerte","100",IF(AE40="Moderado","50",IF(AE40="Débil","0")))</f>
        <v>0</v>
      </c>
      <c r="AG40" s="240">
        <v>1</v>
      </c>
      <c r="AH40" s="240">
        <f>(AF40+AF41+AF42+AF43+AF44)/AG40</f>
        <v>0</v>
      </c>
      <c r="AI40" s="240" t="str">
        <f>IF(AH40&lt;50,"Débil",IF(AH40&lt;=99,"Moderado",IF(AH40=100,"Fuerte",IF(AH40="","ERROR"))))</f>
        <v>Débil</v>
      </c>
      <c r="AJ40" s="240" t="s">
        <v>75</v>
      </c>
      <c r="AK40" s="246">
        <f>IF(AI40="Débil",0,IF(AND(AI40="Moderado",AJ40="Directamente"),20%,IF(AND(AI40="Moderado",AJ40="No disminuye"),0,IF(AND(AI40="Fuerte",AJ40="Directamente"),40%,IF(AND(AI40="Fuerte",AJ40="No disminuye"),0)))))</f>
        <v>0</v>
      </c>
      <c r="AL40" s="236">
        <f>G40-AK40</f>
        <v>0.4</v>
      </c>
      <c r="AM40" s="238" t="str">
        <f>IF(AL40=100%,"Casi Seguro",IF(AL40=80,"Probable",IF(AL40=60%,"Posible",IF(AL40=40%,"Improbable",IF(AL40=20%,"Rara Vez",IF(AL40=0,"Rara Vez",IF(AL40&lt;0,"Rara Vez")))))))</f>
        <v>Improbable</v>
      </c>
      <c r="AN40" s="247" t="s">
        <v>76</v>
      </c>
      <c r="AO40" s="235">
        <f>IF(AI40="Débil",0,IF(AND(AI40="Moderado",AN40="Directamente"),20%,IF(AND(AI40="Moderado",AN40="Indirectamente"),0,IF(AND(AI40="Moderado",AN40="No disminuye"),0,IF(AND(AI40="Fuerte",AN40="Directamente"),40%,IF(AND(AI40="Fuerte",AN40="Indirectamente"),20%,IF(AND(AI40="Fuerte",AN40="No disminuye"),0)))))))</f>
        <v>0</v>
      </c>
      <c r="AP40" s="236">
        <f>J40-AO40</f>
        <v>1</v>
      </c>
      <c r="AQ40" s="238" t="str">
        <f>IF(AP40=100%,"Catastrófico",IF(AP40=80%,"Mayor",IF(AP40=60%,"Moderado",IF(AP40&lt;=60%,"Moderado"))))</f>
        <v>Catastrófico</v>
      </c>
      <c r="AR40" s="240" t="str">
        <f>IF(OR(AND(AQ40="Moderado",AM40="Rara Vez"),AND(AQ40="Moderado",AM40="Improbable")),"Moderado",IF(OR(AND(AQ40="Mayor",AM40="Improbable"),AND(AQ40="Mayor",AM40="Rara Vez"),AND(AQ40="Moderado",AM40="Probable"),AND(AQ40="Moderado",AM40="Posible")),"Alto",IF(OR(AND(AQ40="Moderado",AM40="Casi Seguro"),AND(AQ40="Mayor",AM40="Posible"),AND(AQ40="Mayor",AM40="Probable"),AND(AQ40="Mayor",AM40="Casi Seguro")),"Extremo",IF(AQ40="Catastrófico","Extremo"))))</f>
        <v>Extremo</v>
      </c>
      <c r="AS40" s="249" t="s">
        <v>77</v>
      </c>
      <c r="AT40" s="401"/>
      <c r="AU40" s="402"/>
      <c r="AV40" s="403"/>
      <c r="AW40" s="404"/>
      <c r="AX40" s="405"/>
      <c r="AY40" s="406"/>
      <c r="AZ40" s="233" t="s">
        <v>82</v>
      </c>
      <c r="BA40" s="233" t="s">
        <v>83</v>
      </c>
    </row>
    <row r="41" spans="1:53" s="86" customFormat="1" ht="21.75" customHeight="1" x14ac:dyDescent="0.25">
      <c r="A41" s="638"/>
      <c r="B41" s="646"/>
      <c r="C41" s="245"/>
      <c r="D41" s="245"/>
      <c r="E41" s="245"/>
      <c r="F41" s="238"/>
      <c r="G41" s="238"/>
      <c r="H41" s="241"/>
      <c r="I41" s="238"/>
      <c r="J41" s="238"/>
      <c r="K41" s="238"/>
      <c r="L41" s="119">
        <v>2</v>
      </c>
      <c r="M41" s="137"/>
      <c r="N41" s="125"/>
      <c r="O41" s="180" t="b">
        <f t="shared" ref="O41:O44" si="77">IF(N41="Asignado",15,IF(N41="NO asignado",0))</f>
        <v>0</v>
      </c>
      <c r="P41" s="120"/>
      <c r="Q41" s="180" t="b">
        <f t="shared" ref="Q41:Q44" si="78">IF(P41="Adecuado",15,IF(P41="Inadecuado",0))</f>
        <v>0</v>
      </c>
      <c r="R41" s="120"/>
      <c r="S41" s="180" t="b">
        <f t="shared" ref="S41:S44" si="79">IF(R41="Oportuna",15,IF(R41="Inoportuna",0))</f>
        <v>0</v>
      </c>
      <c r="T41" s="120"/>
      <c r="U41" s="180" t="b">
        <f t="shared" ref="U41:U44" si="80">IF(T41="Prevenir",15,IF(T41="Detectar",10,IF(T41="No es un control",0)))</f>
        <v>0</v>
      </c>
      <c r="V41" s="120"/>
      <c r="W41" s="180" t="b">
        <f t="shared" ref="W41:W44" si="81">IF(V41="Confiable",15,IF(V41="No confiable",0))</f>
        <v>0</v>
      </c>
      <c r="X41" s="120"/>
      <c r="Y41" s="180" t="b">
        <f t="shared" ref="Y41:Y44" si="82">IF(X41="Se investigan oportunamente",15,IF(X41="No se investigan oportunamente",0))</f>
        <v>0</v>
      </c>
      <c r="Z41" s="120"/>
      <c r="AA41" s="180" t="b">
        <f t="shared" ref="AA41:AA44" si="83">IF(Z41="Completa",10,IF(Z41="Incompleta",5,IF(Z41="No existe",0)))</f>
        <v>0</v>
      </c>
      <c r="AB41" s="184">
        <f t="shared" ref="AB41:AB44" si="84">O41+Q41+S41+U41+W41+Y41+AA41</f>
        <v>0</v>
      </c>
      <c r="AC41" s="184" t="str">
        <f t="shared" ref="AC41:AC44" si="85">IF(AB41&lt;86,"Débil",(IF(AB41&lt;96,"Moderado","Fuerte")))</f>
        <v>Débil</v>
      </c>
      <c r="AD41" s="184"/>
      <c r="AE41" s="184" t="str">
        <f t="shared" ref="AE41:AE44" si="86">IF(OR(AND(AC41="Fuerte",AD41="Moderado"),AND(AC41="Moderado",AD41="Fuerte"),AND(AC41="Moderado",AD41="Moderado")),"Moderado",IF(OR(AND(AC41="Fuerte",AD41="Débil"),AND(AC41="Moderado",AD41="Débil"),AND(AC41="Débil")),"Débil",IF(AND(AC41="Fuerte",AD41="Fuerte"),"Fuerte")))</f>
        <v>Débil</v>
      </c>
      <c r="AF41" s="184" t="str">
        <f t="shared" ref="AF41:AF44" si="87">IF(AE41="Fuerte","100",IF(AE41="Moderado","50",IF(AE41="Débil","0")))</f>
        <v>0</v>
      </c>
      <c r="AG41" s="240"/>
      <c r="AH41" s="240"/>
      <c r="AI41" s="240"/>
      <c r="AJ41" s="240"/>
      <c r="AK41" s="246"/>
      <c r="AL41" s="237"/>
      <c r="AM41" s="238"/>
      <c r="AN41" s="247"/>
      <c r="AO41" s="235"/>
      <c r="AP41" s="237"/>
      <c r="AQ41" s="238"/>
      <c r="AR41" s="240"/>
      <c r="AS41" s="249"/>
      <c r="AT41" s="401"/>
      <c r="AU41" s="407"/>
      <c r="AV41" s="408"/>
      <c r="AW41" s="408"/>
      <c r="AX41" s="409"/>
      <c r="AY41" s="410"/>
      <c r="AZ41" s="250"/>
      <c r="BA41" s="234"/>
    </row>
    <row r="42" spans="1:53" s="86" customFormat="1" ht="21.75" customHeight="1" x14ac:dyDescent="0.25">
      <c r="A42" s="638"/>
      <c r="B42" s="646"/>
      <c r="C42" s="245"/>
      <c r="D42" s="245"/>
      <c r="E42" s="245"/>
      <c r="F42" s="238"/>
      <c r="G42" s="238"/>
      <c r="H42" s="241"/>
      <c r="I42" s="238"/>
      <c r="J42" s="238"/>
      <c r="K42" s="238"/>
      <c r="L42" s="119">
        <v>3</v>
      </c>
      <c r="M42" s="137"/>
      <c r="N42" s="125"/>
      <c r="O42" s="180" t="b">
        <f t="shared" si="77"/>
        <v>0</v>
      </c>
      <c r="P42" s="120"/>
      <c r="Q42" s="180" t="b">
        <f t="shared" si="78"/>
        <v>0</v>
      </c>
      <c r="R42" s="120"/>
      <c r="S42" s="180" t="b">
        <f t="shared" si="79"/>
        <v>0</v>
      </c>
      <c r="T42" s="120"/>
      <c r="U42" s="180" t="b">
        <f t="shared" si="80"/>
        <v>0</v>
      </c>
      <c r="V42" s="120"/>
      <c r="W42" s="180" t="b">
        <f t="shared" si="81"/>
        <v>0</v>
      </c>
      <c r="X42" s="120"/>
      <c r="Y42" s="180" t="b">
        <f t="shared" si="82"/>
        <v>0</v>
      </c>
      <c r="Z42" s="120"/>
      <c r="AA42" s="180" t="b">
        <f t="shared" si="83"/>
        <v>0</v>
      </c>
      <c r="AB42" s="184">
        <f t="shared" si="84"/>
        <v>0</v>
      </c>
      <c r="AC42" s="184" t="str">
        <f t="shared" si="85"/>
        <v>Débil</v>
      </c>
      <c r="AD42" s="184"/>
      <c r="AE42" s="184" t="str">
        <f t="shared" si="86"/>
        <v>Débil</v>
      </c>
      <c r="AF42" s="184" t="str">
        <f t="shared" si="87"/>
        <v>0</v>
      </c>
      <c r="AG42" s="240"/>
      <c r="AH42" s="240"/>
      <c r="AI42" s="240"/>
      <c r="AJ42" s="240"/>
      <c r="AK42" s="246"/>
      <c r="AL42" s="237"/>
      <c r="AM42" s="238"/>
      <c r="AN42" s="247"/>
      <c r="AO42" s="235"/>
      <c r="AP42" s="237"/>
      <c r="AQ42" s="238"/>
      <c r="AR42" s="240"/>
      <c r="AS42" s="249"/>
      <c r="AT42" s="401"/>
      <c r="AU42" s="411"/>
      <c r="AV42" s="412"/>
      <c r="AW42" s="412"/>
      <c r="AX42" s="413"/>
      <c r="AY42" s="119"/>
      <c r="AZ42" s="250"/>
      <c r="BA42" s="234"/>
    </row>
    <row r="43" spans="1:53" s="86" customFormat="1" ht="21.75" customHeight="1" x14ac:dyDescent="0.25">
      <c r="A43" s="638"/>
      <c r="B43" s="646"/>
      <c r="C43" s="245"/>
      <c r="D43" s="245"/>
      <c r="E43" s="245"/>
      <c r="F43" s="238"/>
      <c r="G43" s="238"/>
      <c r="H43" s="241"/>
      <c r="I43" s="238"/>
      <c r="J43" s="238"/>
      <c r="K43" s="238"/>
      <c r="L43" s="119">
        <v>4</v>
      </c>
      <c r="M43" s="137"/>
      <c r="N43" s="125"/>
      <c r="O43" s="180" t="b">
        <f t="shared" si="77"/>
        <v>0</v>
      </c>
      <c r="P43" s="120"/>
      <c r="Q43" s="180" t="b">
        <f t="shared" si="78"/>
        <v>0</v>
      </c>
      <c r="R43" s="120"/>
      <c r="S43" s="180" t="b">
        <f t="shared" si="79"/>
        <v>0</v>
      </c>
      <c r="T43" s="120"/>
      <c r="U43" s="180" t="b">
        <f t="shared" si="80"/>
        <v>0</v>
      </c>
      <c r="V43" s="120"/>
      <c r="W43" s="180" t="b">
        <f t="shared" si="81"/>
        <v>0</v>
      </c>
      <c r="X43" s="120"/>
      <c r="Y43" s="180" t="b">
        <f t="shared" si="82"/>
        <v>0</v>
      </c>
      <c r="Z43" s="120"/>
      <c r="AA43" s="180" t="b">
        <f t="shared" si="83"/>
        <v>0</v>
      </c>
      <c r="AB43" s="184">
        <f t="shared" si="84"/>
        <v>0</v>
      </c>
      <c r="AC43" s="184" t="str">
        <f t="shared" si="85"/>
        <v>Débil</v>
      </c>
      <c r="AD43" s="184"/>
      <c r="AE43" s="184" t="str">
        <f t="shared" si="86"/>
        <v>Débil</v>
      </c>
      <c r="AF43" s="184" t="str">
        <f t="shared" si="87"/>
        <v>0</v>
      </c>
      <c r="AG43" s="240"/>
      <c r="AH43" s="240"/>
      <c r="AI43" s="240"/>
      <c r="AJ43" s="240"/>
      <c r="AK43" s="246"/>
      <c r="AL43" s="237"/>
      <c r="AM43" s="238"/>
      <c r="AN43" s="247"/>
      <c r="AO43" s="235"/>
      <c r="AP43" s="237"/>
      <c r="AQ43" s="238"/>
      <c r="AR43" s="240"/>
      <c r="AS43" s="249"/>
      <c r="AT43" s="122"/>
      <c r="AU43" s="414"/>
      <c r="AV43" s="415"/>
      <c r="AW43" s="415"/>
      <c r="AX43" s="416"/>
      <c r="AY43" s="417"/>
      <c r="AZ43" s="250"/>
      <c r="BA43" s="234"/>
    </row>
    <row r="44" spans="1:53" s="86" customFormat="1" ht="21.75" customHeight="1" x14ac:dyDescent="0.25">
      <c r="A44" s="638"/>
      <c r="B44" s="647"/>
      <c r="C44" s="245"/>
      <c r="D44" s="245"/>
      <c r="E44" s="245"/>
      <c r="F44" s="238"/>
      <c r="G44" s="238"/>
      <c r="H44" s="241"/>
      <c r="I44" s="238"/>
      <c r="J44" s="238"/>
      <c r="K44" s="238"/>
      <c r="L44" s="119">
        <v>5</v>
      </c>
      <c r="M44" s="137"/>
      <c r="N44" s="125"/>
      <c r="O44" s="180" t="b">
        <f t="shared" si="77"/>
        <v>0</v>
      </c>
      <c r="P44" s="120"/>
      <c r="Q44" s="180" t="b">
        <f t="shared" si="78"/>
        <v>0</v>
      </c>
      <c r="R44" s="120"/>
      <c r="S44" s="180" t="b">
        <f t="shared" si="79"/>
        <v>0</v>
      </c>
      <c r="T44" s="120"/>
      <c r="U44" s="180" t="b">
        <f t="shared" si="80"/>
        <v>0</v>
      </c>
      <c r="V44" s="120"/>
      <c r="W44" s="180" t="b">
        <f t="shared" si="81"/>
        <v>0</v>
      </c>
      <c r="X44" s="120"/>
      <c r="Y44" s="180" t="b">
        <f t="shared" si="82"/>
        <v>0</v>
      </c>
      <c r="Z44" s="120"/>
      <c r="AA44" s="180" t="b">
        <f t="shared" si="83"/>
        <v>0</v>
      </c>
      <c r="AB44" s="184">
        <f t="shared" si="84"/>
        <v>0</v>
      </c>
      <c r="AC44" s="184" t="str">
        <f t="shared" si="85"/>
        <v>Débil</v>
      </c>
      <c r="AD44" s="184"/>
      <c r="AE44" s="184" t="str">
        <f t="shared" si="86"/>
        <v>Débil</v>
      </c>
      <c r="AF44" s="184" t="str">
        <f t="shared" si="87"/>
        <v>0</v>
      </c>
      <c r="AG44" s="240"/>
      <c r="AH44" s="240"/>
      <c r="AI44" s="240"/>
      <c r="AJ44" s="240"/>
      <c r="AK44" s="246"/>
      <c r="AL44" s="237"/>
      <c r="AM44" s="238"/>
      <c r="AN44" s="247"/>
      <c r="AO44" s="235"/>
      <c r="AP44" s="237"/>
      <c r="AQ44" s="238"/>
      <c r="AR44" s="240"/>
      <c r="AS44" s="249"/>
      <c r="AT44" s="122"/>
      <c r="AU44" s="121"/>
      <c r="AV44" s="123"/>
      <c r="AW44" s="123"/>
      <c r="AX44" s="124"/>
      <c r="AY44" s="414"/>
      <c r="AZ44" s="234"/>
      <c r="BA44" s="234"/>
    </row>
    <row r="45" spans="1:53" s="83" customFormat="1" ht="21.75" customHeight="1" x14ac:dyDescent="0.2">
      <c r="A45" s="640" t="s">
        <v>487</v>
      </c>
      <c r="B45" s="645" t="s">
        <v>177</v>
      </c>
      <c r="C45" s="245" t="s">
        <v>488</v>
      </c>
      <c r="D45" s="245" t="s">
        <v>825</v>
      </c>
      <c r="E45" s="245" t="s">
        <v>94</v>
      </c>
      <c r="F45" s="238" t="str">
        <f>IF(AND(E45=[16]calificación_impacto_corrupción!$B$2),[16]calificación_impacto_corrupción!$A$2,IF(AND(E45=[16]calificación_impacto_corrupción!$B$3),[16]calificación_impacto_corrupción!$A$3,IF(AND(E45=[16]calificación_impacto_corrupción!$B$4),[16]calificación_impacto_corrupción!$A$4,IF(AND(E45=[16]calificación_impacto_corrupción!$B$5),[16]calificación_impacto_corrupción!$A$5,IF(AND(E45=[16]calificación_impacto_corrupción!$B$6),[16]calificación_impacto_corrupción!$A$6,FALSE)))))</f>
        <v>Improbable</v>
      </c>
      <c r="G45" s="238" t="str">
        <f>IF(AND(E45=[16]calificación_impacto_corrupción!$B$6),"20%",IF(AND(E45=[16]calificación_impacto_corrupción!$B$5),"40%",IF(AND(E45=[16]calificación_impacto_corrupción!$B$4),"60%",IF(AND(E45=[16]calificación_impacto_corrupción!$B$3),"80%",IF(AND(E45=[16]calificación_impacto_corrupción!$B$2),"100%",FALSE)))))</f>
        <v>40%</v>
      </c>
      <c r="H45" s="241" t="s">
        <v>388</v>
      </c>
      <c r="I45" s="238" t="str">
        <f>IF(AND(H45=[16]DESPLEGABLES!$A$19),"Leve",IF(AND(H45=[16]DESPLEGABLES!$A$20),"Menor",IF(AND(H45=[16]DESPLEGABLES!$A$21),"Moderado",IF(AND(H45=[16]DESPLEGABLES!$A$22),"Mayor",IF(AND(H45=[16]DESPLEGABLES!$A$23),"Catastrófico",IF(AND(H45=[16]DESPLEGABLES!$A$25),"Leve",IF(AND(H45=[16]DESPLEGABLES!$A$26),"Menor",IF(AND(H45=[16]DESPLEGABLES!$A$27),"Moderado",IF(AND(H45=[16]DESPLEGABLES!$A$28),"Mayor",IF(AND(H45=[16]DESPLEGABLES!$A$29),"Catastrófico",IF(AND(H45=[16]DESPLEGABLES!$A$31),"Moderado",IF(AND(H45=[16]DESPLEGABLES!$A$32),"Mayor",IF(AND(H45=[16]DESPLEGABLES!$A$33),"Catastrófico","")))))))))))))</f>
        <v>Mayor</v>
      </c>
      <c r="J45" s="238" t="str">
        <f>IF(AND(I45="Leve"),"20%",IF(AND(I45="Menor"),"40%",IF(AND(I45="Moderado"),"60%",IF(AND(I45="Mayor"),"80%",IF(AND(I45="Catastrófico"),"100%","")))))</f>
        <v>80%</v>
      </c>
      <c r="K45" s="238" t="str">
        <f>IF(AND(G45&lt;="40%",J45="20%"),"Bajo",IF(AND(G45="60%",J45="20%"),"Moderado",IF(AND(G45="80%",J45="20%"),"Moderado",IF(AND(G45="100%",J45="20%"),"Alto",IF(AND(G45="20%",J45="40%"),"Bajo",IF(AND(G45="40%",J45="40%"),"Moderado",IF(AND(G45="60%",J45="40%"),"Moderado",IF(AND(G45="80%",J45="40%"),"Moderado",IF(AND(G45="100%",J45="40%"),"Alto",IF(AND(G45="20%",J45="60%"),"Moderado",IF(AND(G45="40%",J45="60%"),"Moderado",IF(AND(G45="60%",J45="60%"),"Moderado",IF(AND(G45="80%",J45="60%"),"Alto",IF(AND(G45="100%",J45="60%"),"Alto",IF(AND(G45="20%",J45="80%"),"Alto",IF(AND(G45="40%",J45="80%"),"Alto",IF(AND(G45="60%",J45="80%"),"Alto",IF(AND(G45="80%",J45="80%"),"Alto",IF(AND(G45="100%",J45="80%"),"Alto",IF(AND(G45="20%",J45="100%"),"Extremo",IF(AND(G45="40%",J45="100%"),"Extremo",IF(AND(G45="60%",J45="100%"),"Extremo",IF(AND(G45="80%",J45="100%"),"Moderado",IF(AND(G45="100%",J45="100%"),"Extremo",""))))))))))))))))))))))))</f>
        <v>Alto</v>
      </c>
      <c r="L45" s="119">
        <v>1</v>
      </c>
      <c r="M45" s="136" t="s">
        <v>826</v>
      </c>
      <c r="N45" s="125" t="s">
        <v>67</v>
      </c>
      <c r="O45" s="180">
        <f>IF(N45="Asignado",15,IF(N45="NO asignado",0))</f>
        <v>15</v>
      </c>
      <c r="P45" s="120" t="s">
        <v>68</v>
      </c>
      <c r="Q45" s="180">
        <f>IF(P45="Adecuado",15,IF(P45="Inadecuado",0))</f>
        <v>15</v>
      </c>
      <c r="R45" s="120" t="s">
        <v>69</v>
      </c>
      <c r="S45" s="180">
        <f>IF(R45="Oportuna",15,IF(R45="Inoportuna",0))</f>
        <v>15</v>
      </c>
      <c r="T45" s="120" t="s">
        <v>70</v>
      </c>
      <c r="U45" s="180">
        <f>IF(T45="Prevenir",15,IF(T45="Detectar",10,IF(T45="No es un control",0)))</f>
        <v>15</v>
      </c>
      <c r="V45" s="120" t="s">
        <v>71</v>
      </c>
      <c r="W45" s="180">
        <f>IF(V45="Confiable",15,IF(V45="No confiable",0))</f>
        <v>15</v>
      </c>
      <c r="X45" s="120" t="s">
        <v>72</v>
      </c>
      <c r="Y45" s="180">
        <f>IF(X45="Se investigan oportunamente",15,IF(X45="No se investigan oportunamente",0))</f>
        <v>15</v>
      </c>
      <c r="Z45" s="120" t="s">
        <v>90</v>
      </c>
      <c r="AA45" s="180">
        <f>IF(Z45="Completa",10,IF(Z45="Incompleta",5,IF(Z45="No existe",0)))</f>
        <v>10</v>
      </c>
      <c r="AB45" s="184">
        <f>O45+Q45+S45+U45+W45+Y45+AA45</f>
        <v>100</v>
      </c>
      <c r="AC45" s="184" t="str">
        <f>IF(AB45&lt;86,"Débil",(IF(AB45&lt;96,"Moderado","Fuerte")))</f>
        <v>Fuerte</v>
      </c>
      <c r="AD45" s="184" t="s">
        <v>74</v>
      </c>
      <c r="AE45" s="184" t="str">
        <f>IF(OR(AND(AC45="Fuerte",AD45="Moderado"),AND(AC45="Moderado",AD45="Fuerte"),AND(AC45="Moderado",AD45="Moderado")),"Moderado",IF(OR(AND(AC45="Fuerte",AD45="Débil"),AND(AC45="Moderado",AD45="Débil"),AND(AC45="Débil")),"Débil",IF(AND(AC45="Fuerte",AD45="Fuerte"),"Fuerte")))</f>
        <v>Fuerte</v>
      </c>
      <c r="AF45" s="184" t="str">
        <f>IF(AE45="Fuerte","100",IF(AE45="Moderado","50",IF(AE45="Débil","0")))</f>
        <v>100</v>
      </c>
      <c r="AG45" s="240">
        <v>1</v>
      </c>
      <c r="AH45" s="240">
        <f>(AF45+AF46+AF47+AF48+AF49)/AG45</f>
        <v>100</v>
      </c>
      <c r="AI45" s="240" t="str">
        <f>IF(AH45&lt;50,"Débil",IF(AH45&lt;=99,"Moderado",IF(AH45=100,"Fuerte",IF(AH45="","ERROR"))))</f>
        <v>Fuerte</v>
      </c>
      <c r="AJ45" s="240" t="s">
        <v>75</v>
      </c>
      <c r="AK45" s="246">
        <f>IF(AI45="Débil",0,IF(AND(AI45="Moderado",AJ45="Directamente"),20%,IF(AND(AI45="Moderado",AJ45="No disminuye"),0,IF(AND(AI45="Fuerte",AJ45="Directamente"),40%,IF(AND(AI45="Fuerte",AJ45="No disminuye"),0)))))</f>
        <v>0.4</v>
      </c>
      <c r="AL45" s="236">
        <f>G45-AK45</f>
        <v>0</v>
      </c>
      <c r="AM45" s="238" t="str">
        <f>IF(AL45=100%,"Casi Seguro",IF(AL45=80,"Probable",IF(AL45=60%,"Posible",IF(AL45=40%,"Improbable",IF(AL45=20%,"Rara Vez",IF(AL45=0,"Rara Vez",IF(AL45&lt;0,"Rara Vez")))))))</f>
        <v>Rara Vez</v>
      </c>
      <c r="AN45" s="247" t="s">
        <v>76</v>
      </c>
      <c r="AO45" s="235">
        <f>IF(AI45="Débil",0,IF(AND(AI45="Moderado",AN45="Directamente"),20%,IF(AND(AI45="Moderado",AN45="Indirectamente"),0,IF(AND(AI45="Moderado",AN45="No disminuye"),0,IF(AND(AI45="Fuerte",AN45="Directamente"),40%,IF(AND(AI45="Fuerte",AN45="Indirectamente"),20%,IF(AND(AI45="Fuerte",AN45="No disminuye"),0)))))))</f>
        <v>0.2</v>
      </c>
      <c r="AP45" s="236">
        <f>J45-AO45</f>
        <v>0.60000000000000009</v>
      </c>
      <c r="AQ45" s="238" t="str">
        <f>IF(AP45=100%,"Catastrófico",IF(AP45=80%,"Mayor",IF(AP45=60%,"Moderado",IF(AP45&lt;=60%,"Moderado"))))</f>
        <v>Moderado</v>
      </c>
      <c r="AR45" s="240" t="str">
        <f>IF(OR(AND(AQ45="Moderado",AM45="Rara Vez"),AND(AQ45="Moderado",AM45="Improbable")),"Moderado",IF(OR(AND(AQ45="Mayor",AM45="Improbable"),AND(AQ45="Mayor",AM45="Rara Vez"),AND(AQ45="Moderado",AM45="Probable"),AND(AQ45="Moderado",AM45="Posible")),"Alto",IF(OR(AND(AQ45="Moderado",AM45="Casi Seguro"),AND(AQ45="Mayor",AM45="Posible"),AND(AQ45="Mayor",AM45="Probable"),AND(AQ45="Mayor",AM45="Casi Seguro")),"Extremo",IF(AQ45="Catastrófico","Extremo"))))</f>
        <v>Moderado</v>
      </c>
      <c r="AS45" s="249" t="s">
        <v>111</v>
      </c>
      <c r="AT45" s="122"/>
      <c r="AU45" s="124"/>
      <c r="AV45" s="403"/>
      <c r="AW45" s="123"/>
      <c r="AX45" s="405"/>
      <c r="AY45" s="121"/>
      <c r="AZ45" s="233" t="s">
        <v>489</v>
      </c>
      <c r="BA45" s="233" t="s">
        <v>83</v>
      </c>
    </row>
    <row r="46" spans="1:53" s="83" customFormat="1" ht="21.75" customHeight="1" x14ac:dyDescent="0.2">
      <c r="A46" s="641"/>
      <c r="B46" s="646"/>
      <c r="C46" s="245"/>
      <c r="D46" s="245"/>
      <c r="E46" s="245"/>
      <c r="F46" s="238"/>
      <c r="G46" s="238"/>
      <c r="H46" s="241"/>
      <c r="I46" s="238"/>
      <c r="J46" s="238"/>
      <c r="K46" s="238"/>
      <c r="L46" s="119">
        <v>2</v>
      </c>
      <c r="M46" s="133"/>
      <c r="N46" s="125"/>
      <c r="O46" s="180" t="b">
        <f t="shared" ref="O46:O49" si="88">IF(N46="Asignado",15,IF(N46="NO asignado",0))</f>
        <v>0</v>
      </c>
      <c r="P46" s="120"/>
      <c r="Q46" s="180" t="b">
        <f t="shared" ref="Q46:Q49" si="89">IF(P46="Adecuado",15,IF(P46="Inadecuado",0))</f>
        <v>0</v>
      </c>
      <c r="R46" s="120"/>
      <c r="S46" s="180" t="b">
        <f t="shared" ref="S46:S49" si="90">IF(R46="Oportuna",15,IF(R46="Inoportuna",0))</f>
        <v>0</v>
      </c>
      <c r="T46" s="120"/>
      <c r="U46" s="180" t="b">
        <f t="shared" ref="U46:U49" si="91">IF(T46="Prevenir",15,IF(T46="Detectar",10,IF(T46="No es un control",0)))</f>
        <v>0</v>
      </c>
      <c r="V46" s="120"/>
      <c r="W46" s="180" t="b">
        <f t="shared" ref="W46:W49" si="92">IF(V46="Confiable",15,IF(V46="No confiable",0))</f>
        <v>0</v>
      </c>
      <c r="X46" s="120"/>
      <c r="Y46" s="180" t="b">
        <f t="shared" ref="Y46:Y49" si="93">IF(X46="Se investigan oportunamente",15,IF(X46="No se investigan oportunamente",0))</f>
        <v>0</v>
      </c>
      <c r="Z46" s="120"/>
      <c r="AA46" s="180" t="b">
        <f t="shared" ref="AA46:AA49" si="94">IF(Z46="Completa",10,IF(Z46="Incompleta",5,IF(Z46="No existe",0)))</f>
        <v>0</v>
      </c>
      <c r="AB46" s="184">
        <f t="shared" ref="AB46:AB49" si="95">O46+Q46+S46+U46+W46+Y46+AA46</f>
        <v>0</v>
      </c>
      <c r="AC46" s="184" t="str">
        <f t="shared" ref="AC46:AC49" si="96">IF(AB46&lt;86,"Débil",(IF(AB46&lt;96,"Moderado","Fuerte")))</f>
        <v>Débil</v>
      </c>
      <c r="AD46" s="184"/>
      <c r="AE46" s="184" t="str">
        <f t="shared" ref="AE46:AE49" si="97">IF(OR(AND(AC46="Fuerte",AD46="Moderado"),AND(AC46="Moderado",AD46="Fuerte"),AND(AC46="Moderado",AD46="Moderado")),"Moderado",IF(OR(AND(AC46="Fuerte",AD46="Débil"),AND(AC46="Moderado",AD46="Débil"),AND(AC46="Débil")),"Débil",IF(AND(AC46="Fuerte",AD46="Fuerte"),"Fuerte")))</f>
        <v>Débil</v>
      </c>
      <c r="AF46" s="184" t="str">
        <f t="shared" ref="AF46:AF49" si="98">IF(AE46="Fuerte","100",IF(AE46="Moderado","50",IF(AE46="Débil","0")))</f>
        <v>0</v>
      </c>
      <c r="AG46" s="240"/>
      <c r="AH46" s="240"/>
      <c r="AI46" s="240"/>
      <c r="AJ46" s="240"/>
      <c r="AK46" s="246"/>
      <c r="AL46" s="237"/>
      <c r="AM46" s="238"/>
      <c r="AN46" s="247"/>
      <c r="AO46" s="235"/>
      <c r="AP46" s="237"/>
      <c r="AQ46" s="238"/>
      <c r="AR46" s="240"/>
      <c r="AS46" s="249"/>
      <c r="AT46" s="122"/>
      <c r="AU46" s="121"/>
      <c r="AV46" s="123"/>
      <c r="AW46" s="123"/>
      <c r="AX46" s="124"/>
      <c r="AY46" s="121"/>
      <c r="AZ46" s="234"/>
      <c r="BA46" s="234"/>
    </row>
    <row r="47" spans="1:53" s="83" customFormat="1" ht="21.75" customHeight="1" x14ac:dyDescent="0.2">
      <c r="A47" s="641"/>
      <c r="B47" s="646"/>
      <c r="C47" s="245"/>
      <c r="D47" s="245"/>
      <c r="E47" s="245"/>
      <c r="F47" s="238"/>
      <c r="G47" s="238"/>
      <c r="H47" s="241"/>
      <c r="I47" s="238"/>
      <c r="J47" s="238"/>
      <c r="K47" s="238"/>
      <c r="L47" s="119">
        <v>3</v>
      </c>
      <c r="M47" s="133"/>
      <c r="N47" s="125"/>
      <c r="O47" s="180" t="b">
        <f t="shared" si="88"/>
        <v>0</v>
      </c>
      <c r="P47" s="120"/>
      <c r="Q47" s="180" t="b">
        <f t="shared" si="89"/>
        <v>0</v>
      </c>
      <c r="R47" s="120"/>
      <c r="S47" s="180" t="b">
        <f t="shared" si="90"/>
        <v>0</v>
      </c>
      <c r="T47" s="120"/>
      <c r="U47" s="180" t="b">
        <f t="shared" si="91"/>
        <v>0</v>
      </c>
      <c r="V47" s="120"/>
      <c r="W47" s="180" t="b">
        <f t="shared" si="92"/>
        <v>0</v>
      </c>
      <c r="X47" s="120"/>
      <c r="Y47" s="180" t="b">
        <f t="shared" si="93"/>
        <v>0</v>
      </c>
      <c r="Z47" s="120"/>
      <c r="AA47" s="180" t="b">
        <f t="shared" si="94"/>
        <v>0</v>
      </c>
      <c r="AB47" s="184">
        <f t="shared" si="95"/>
        <v>0</v>
      </c>
      <c r="AC47" s="184" t="str">
        <f t="shared" si="96"/>
        <v>Débil</v>
      </c>
      <c r="AD47" s="184"/>
      <c r="AE47" s="184" t="str">
        <f t="shared" si="97"/>
        <v>Débil</v>
      </c>
      <c r="AF47" s="184" t="str">
        <f t="shared" si="98"/>
        <v>0</v>
      </c>
      <c r="AG47" s="240"/>
      <c r="AH47" s="240"/>
      <c r="AI47" s="240"/>
      <c r="AJ47" s="240"/>
      <c r="AK47" s="246"/>
      <c r="AL47" s="237"/>
      <c r="AM47" s="238"/>
      <c r="AN47" s="247"/>
      <c r="AO47" s="235"/>
      <c r="AP47" s="237"/>
      <c r="AQ47" s="238"/>
      <c r="AR47" s="240"/>
      <c r="AS47" s="249"/>
      <c r="AT47" s="122"/>
      <c r="AU47" s="121"/>
      <c r="AV47" s="123"/>
      <c r="AW47" s="123"/>
      <c r="AX47" s="124"/>
      <c r="AY47" s="121"/>
      <c r="AZ47" s="234"/>
      <c r="BA47" s="234"/>
    </row>
    <row r="48" spans="1:53" s="83" customFormat="1" ht="21.75" customHeight="1" x14ac:dyDescent="0.2">
      <c r="A48" s="641"/>
      <c r="B48" s="646"/>
      <c r="C48" s="245"/>
      <c r="D48" s="245"/>
      <c r="E48" s="245"/>
      <c r="F48" s="238"/>
      <c r="G48" s="238"/>
      <c r="H48" s="241"/>
      <c r="I48" s="238"/>
      <c r="J48" s="238"/>
      <c r="K48" s="238"/>
      <c r="L48" s="119">
        <v>4</v>
      </c>
      <c r="M48" s="133"/>
      <c r="N48" s="125"/>
      <c r="O48" s="180" t="b">
        <f t="shared" si="88"/>
        <v>0</v>
      </c>
      <c r="P48" s="120"/>
      <c r="Q48" s="180" t="b">
        <f t="shared" si="89"/>
        <v>0</v>
      </c>
      <c r="R48" s="120"/>
      <c r="S48" s="180" t="b">
        <f t="shared" si="90"/>
        <v>0</v>
      </c>
      <c r="T48" s="120"/>
      <c r="U48" s="180" t="b">
        <f t="shared" si="91"/>
        <v>0</v>
      </c>
      <c r="V48" s="120"/>
      <c r="W48" s="180" t="b">
        <f t="shared" si="92"/>
        <v>0</v>
      </c>
      <c r="X48" s="120"/>
      <c r="Y48" s="180" t="b">
        <f t="shared" si="93"/>
        <v>0</v>
      </c>
      <c r="Z48" s="120"/>
      <c r="AA48" s="180" t="b">
        <f t="shared" si="94"/>
        <v>0</v>
      </c>
      <c r="AB48" s="184">
        <f t="shared" si="95"/>
        <v>0</v>
      </c>
      <c r="AC48" s="184" t="str">
        <f t="shared" si="96"/>
        <v>Débil</v>
      </c>
      <c r="AD48" s="184"/>
      <c r="AE48" s="184" t="str">
        <f t="shared" si="97"/>
        <v>Débil</v>
      </c>
      <c r="AF48" s="184" t="str">
        <f t="shared" si="98"/>
        <v>0</v>
      </c>
      <c r="AG48" s="240"/>
      <c r="AH48" s="240"/>
      <c r="AI48" s="240"/>
      <c r="AJ48" s="240"/>
      <c r="AK48" s="246"/>
      <c r="AL48" s="237"/>
      <c r="AM48" s="238"/>
      <c r="AN48" s="247"/>
      <c r="AO48" s="235"/>
      <c r="AP48" s="237"/>
      <c r="AQ48" s="238"/>
      <c r="AR48" s="240"/>
      <c r="AS48" s="249"/>
      <c r="AT48" s="122"/>
      <c r="AU48" s="121"/>
      <c r="AV48" s="123"/>
      <c r="AW48" s="123"/>
      <c r="AX48" s="124"/>
      <c r="AY48" s="121"/>
      <c r="AZ48" s="234"/>
      <c r="BA48" s="234"/>
    </row>
    <row r="49" spans="1:53" s="83" customFormat="1" ht="21.75" customHeight="1" x14ac:dyDescent="0.2">
      <c r="A49" s="641"/>
      <c r="B49" s="647"/>
      <c r="C49" s="245"/>
      <c r="D49" s="245"/>
      <c r="E49" s="245"/>
      <c r="F49" s="238"/>
      <c r="G49" s="238"/>
      <c r="H49" s="241"/>
      <c r="I49" s="238"/>
      <c r="J49" s="238"/>
      <c r="K49" s="238"/>
      <c r="L49" s="119">
        <v>5</v>
      </c>
      <c r="M49" s="133"/>
      <c r="N49" s="125"/>
      <c r="O49" s="180" t="b">
        <f t="shared" si="88"/>
        <v>0</v>
      </c>
      <c r="P49" s="120"/>
      <c r="Q49" s="180" t="b">
        <f t="shared" si="89"/>
        <v>0</v>
      </c>
      <c r="R49" s="120"/>
      <c r="S49" s="180" t="b">
        <f t="shared" si="90"/>
        <v>0</v>
      </c>
      <c r="T49" s="120"/>
      <c r="U49" s="180" t="b">
        <f t="shared" si="91"/>
        <v>0</v>
      </c>
      <c r="V49" s="120"/>
      <c r="W49" s="180" t="b">
        <f t="shared" si="92"/>
        <v>0</v>
      </c>
      <c r="X49" s="120"/>
      <c r="Y49" s="180" t="b">
        <f t="shared" si="93"/>
        <v>0</v>
      </c>
      <c r="Z49" s="120"/>
      <c r="AA49" s="180" t="b">
        <f t="shared" si="94"/>
        <v>0</v>
      </c>
      <c r="AB49" s="184">
        <f t="shared" si="95"/>
        <v>0</v>
      </c>
      <c r="AC49" s="184" t="str">
        <f t="shared" si="96"/>
        <v>Débil</v>
      </c>
      <c r="AD49" s="184"/>
      <c r="AE49" s="184" t="str">
        <f t="shared" si="97"/>
        <v>Débil</v>
      </c>
      <c r="AF49" s="184" t="str">
        <f t="shared" si="98"/>
        <v>0</v>
      </c>
      <c r="AG49" s="240"/>
      <c r="AH49" s="240"/>
      <c r="AI49" s="240"/>
      <c r="AJ49" s="240"/>
      <c r="AK49" s="246"/>
      <c r="AL49" s="237"/>
      <c r="AM49" s="238"/>
      <c r="AN49" s="247"/>
      <c r="AO49" s="235"/>
      <c r="AP49" s="237"/>
      <c r="AQ49" s="238"/>
      <c r="AR49" s="240"/>
      <c r="AS49" s="249"/>
      <c r="AT49" s="122"/>
      <c r="AU49" s="121"/>
      <c r="AV49" s="123"/>
      <c r="AW49" s="123"/>
      <c r="AX49" s="124"/>
      <c r="AY49" s="121"/>
      <c r="AZ49" s="234"/>
      <c r="BA49" s="234"/>
    </row>
    <row r="50" spans="1:53" s="86" customFormat="1" ht="24" customHeight="1" x14ac:dyDescent="0.2">
      <c r="A50" s="244" t="s">
        <v>546</v>
      </c>
      <c r="B50" s="227" t="s">
        <v>112</v>
      </c>
      <c r="C50" s="227" t="s">
        <v>547</v>
      </c>
      <c r="D50" s="227" t="s">
        <v>548</v>
      </c>
      <c r="E50" s="227" t="s">
        <v>94</v>
      </c>
      <c r="F50" s="229" t="str">
        <f>IF(AND(E50=[6]calificación_impacto_corrupción!$B$2),[6]calificación_impacto_corrupción!$A$2,IF(AND(E50=[6]calificación_impacto_corrupción!$B$3),[6]calificación_impacto_corrupción!$A$3,IF(AND(E50=[6]calificación_impacto_corrupción!$B$4),[6]calificación_impacto_corrupción!$A$4,IF(AND(E50=[6]calificación_impacto_corrupción!$B$5),[6]calificación_impacto_corrupción!$A$5,IF(AND(E50=[6]calificación_impacto_corrupción!$B$6),[6]calificación_impacto_corrupción!$A$6,FALSE)))))</f>
        <v>Improbable</v>
      </c>
      <c r="G50" s="229" t="str">
        <f>IF(AND(E50=[6]calificación_impacto_corrupción!$B$6),"20%",IF(AND(E50=[6]calificación_impacto_corrupción!$B$5),"40%",IF(AND(E50=[6]calificación_impacto_corrupción!$B$4),"60%",IF(AND(E50=[6]calificación_impacto_corrupción!$B$3),"80%",IF(AND(E50=[6]calificación_impacto_corrupción!$B$2),"100%",FALSE)))))</f>
        <v>40%</v>
      </c>
      <c r="H50" s="228" t="s">
        <v>388</v>
      </c>
      <c r="I50" s="229" t="str">
        <f>IF(AND(H50=[13]DESPLEGABLES!$A$19),"Leve",IF(AND(H50=[13]DESPLEGABLES!$A$20),"Menor",IF(AND(H50=[13]DESPLEGABLES!$A$21),"Moderado",IF(AND(H50=[13]DESPLEGABLES!$A$22),"Mayor",IF(AND(H50=[13]DESPLEGABLES!$A$23),"Catastrófico",IF(AND(H50=[13]DESPLEGABLES!$A$25),"Leve",IF(AND(H50=[13]DESPLEGABLES!$A$26),"Menor",IF(AND(H50=[13]DESPLEGABLES!$A$27),"Moderado",IF(AND(H50=[13]DESPLEGABLES!$A$28),"Mayor",IF(AND(H50=[13]DESPLEGABLES!$A$29),"Catastrófico",IF(AND(H50=[13]DESPLEGABLES!$A$31),"Moderado",IF(AND(H50=[13]DESPLEGABLES!$A$32),"Mayor",IF(AND(H50=[13]DESPLEGABLES!$A$33),"Catastrófico","")))))))))))))</f>
        <v>Mayor</v>
      </c>
      <c r="J50" s="229" t="str">
        <f>IF(AND(I50="Leve"),"20%",IF(AND(I50="Menor"),"40%",IF(AND(I50="Moderado"),"60%",IF(AND(I50="Mayor"),"80%",IF(AND(I50="Catastrófico"),"100%","")))))</f>
        <v>80%</v>
      </c>
      <c r="K50" s="229" t="str">
        <f>IF(AND(G50&lt;="40%",J50="20%"),"Bajo",IF(AND(G50="60%",J50="20%"),"Moderado",IF(AND(G50="80%",J50="20%"),"Moderado",IF(AND(G50="100%",J50="20%"),"Alto",IF(AND(G50="20%",J50="40%"),"Bajo",IF(AND(G50="40%",J50="40%"),"Moderado",IF(AND(G50="60%",J50="40%"),"Moderado",IF(AND(G50="80%",J50="40%"),"Moderado",IF(AND(G50="100%",J50="40%"),"Alto",IF(AND(G50="20%",J50="60%"),"Moderado",IF(AND(G50="40%",J50="60%"),"Moderado",IF(AND(G50="60%",J50="60%"),"Moderado",IF(AND(G50="80%",J50="60%"),"Alto",IF(AND(G50="100%",J50="60%"),"Alto",IF(AND(G50="20%",J50="80%"),"Alto",IF(AND(G50="40%",J50="80%"),"Alto",IF(AND(G50="60%",J50="80%"),"Alto",IF(AND(G50="80%",J50="80%"),"Alto",IF(AND(G50="100%",J50="80%"),"Alto",IF(AND(G50="20%",J50="100%"),"Extremo",IF(AND(G50="40%",J50="100%"),"Extremo",IF(AND(G50="60%",J50="100%"),"Extremo",IF(AND(G50="80%",J50="100%"),"Moderado",IF(AND(G50="100%",J50="100%"),"Extremo",""))))))))))))))))))))))))</f>
        <v>Alto</v>
      </c>
      <c r="L50" s="187">
        <v>1</v>
      </c>
      <c r="M50" s="661" t="s">
        <v>549</v>
      </c>
      <c r="N50" s="115" t="s">
        <v>67</v>
      </c>
      <c r="O50" s="175">
        <f>IF(N50="Asignado",15,IF(N50="NO asignado",0))</f>
        <v>15</v>
      </c>
      <c r="P50" s="116" t="s">
        <v>68</v>
      </c>
      <c r="Q50" s="175">
        <f>IF(P50="Adecuado",15,IF(P50="Inadecuado",0))</f>
        <v>15</v>
      </c>
      <c r="R50" s="116" t="s">
        <v>69</v>
      </c>
      <c r="S50" s="175">
        <f>IF(R50="Oportuna",15,IF(R50="Inoportuna",0))</f>
        <v>15</v>
      </c>
      <c r="T50" s="116" t="s">
        <v>70</v>
      </c>
      <c r="U50" s="175">
        <f>IF(T50="Prevenir",15,IF(T50="Detectar",10,IF(T50="No es un control",0)))</f>
        <v>15</v>
      </c>
      <c r="V50" s="116" t="s">
        <v>71</v>
      </c>
      <c r="W50" s="175">
        <f>IF(V50="Confiable",15,IF(V50="No confiable",0))</f>
        <v>15</v>
      </c>
      <c r="X50" s="116" t="s">
        <v>72</v>
      </c>
      <c r="Y50" s="175">
        <f>IF(X50="Se investigan oportunamente",15,IF(X50="No se investigan oportunamente",0))</f>
        <v>15</v>
      </c>
      <c r="Z50" s="116" t="s">
        <v>90</v>
      </c>
      <c r="AA50" s="175">
        <f>IF(Z50="Completa",10,IF(Z50="Incompleta",5,IF(Z50="No existe",0)))</f>
        <v>10</v>
      </c>
      <c r="AB50" s="185">
        <f>O50+Q50+S50+U50+W50+Y50+AA50</f>
        <v>100</v>
      </c>
      <c r="AC50" s="185" t="str">
        <f>IF(AB50&lt;86,"Débil",(IF(AB50&lt;96,"Moderado","Fuerte")))</f>
        <v>Fuerte</v>
      </c>
      <c r="AD50" s="185" t="s">
        <v>74</v>
      </c>
      <c r="AE50" s="185" t="str">
        <f>IF(OR(AND(AC50="Fuerte",AD50="Moderado"),AND(AC50="Moderado",AD50="Fuerte"),AND(AC50="Moderado",AD50="Moderado")),"Moderado",IF(OR(AND(AC50="Fuerte",AD50="Débil"),AND(AC50="Moderado",AD50="Débil"),AND(AC50="Débil")),"Débil",IF(AND(AC50="Fuerte",AD50="Fuerte"),"Fuerte")))</f>
        <v>Fuerte</v>
      </c>
      <c r="AF50" s="185" t="str">
        <f>IF(AE50="Fuerte","100",IF(AE50="Moderado","50",IF(AE50="Débil","0")))</f>
        <v>100</v>
      </c>
      <c r="AG50" s="232">
        <v>2</v>
      </c>
      <c r="AH50" s="232">
        <f>(AF50+AF51+AF52+AF53+AF54)/AG50</f>
        <v>100</v>
      </c>
      <c r="AI50" s="232" t="str">
        <f>IF(AH50&lt;50,"Débil",IF(AH50&lt;=99,"Moderado",IF(AH50=100,"Fuerte",IF(AH50="","ERROR"))))</f>
        <v>Fuerte</v>
      </c>
      <c r="AJ50" s="232" t="s">
        <v>75</v>
      </c>
      <c r="AK50" s="239">
        <f>IF(AI50="Débil",0,IF(AND(AI50="Moderado",AJ50="Directamente"),20%,IF(AND(AI50="Moderado",AJ50="No disminuye"),0,IF(AND(AI50="Fuerte",AJ50="Directamente"),40%,IF(AND(AI50="Fuerte",AJ50="No disminuye"),0)))))</f>
        <v>0.4</v>
      </c>
      <c r="AL50" s="230">
        <f>AK50-G50</f>
        <v>0</v>
      </c>
      <c r="AM50" s="229" t="str">
        <f>IF(AL50=100%,"Casi Seguro",IF(AL50=80,"Probable",IF(AL50=60%,"Posible",IF(AL50=40%,"Improbable",IF(AL50=20%,"Rara Vez",IF(AL50=0,"Rara Vez",IF(AL50&lt;0,"Rara Vez")))))))</f>
        <v>Rara Vez</v>
      </c>
      <c r="AN50" s="243" t="s">
        <v>76</v>
      </c>
      <c r="AO50" s="242">
        <f>IF(AI50="Débil",0,IF(AND(AI50="Moderado",AN50="Directamente"),20%,IF(AND(AI50="Moderado",AN50="Indirectamente"),0,IF(AND(AI50="Moderado",AN50="No disminuye"),0,IF(AND(AI50="Fuerte",AN50="Directamente"),40%,IF(AND(AI50="Fuerte",AN50="Indirectamente"),20%,IF(AND(AI50="Fuerte",AN50="No disminuye"),0)))))))</f>
        <v>0.2</v>
      </c>
      <c r="AP50" s="230">
        <f>J50-AO50</f>
        <v>0.60000000000000009</v>
      </c>
      <c r="AQ50" s="229" t="str">
        <f>IF(AP50=100%,"Catastrófico",IF(AP50=80%,"Mayor",IF(AP50=60%,"Moderado",IF(AP50&lt;=60%,"Moderado"))))</f>
        <v>Moderado</v>
      </c>
      <c r="AR50" s="232" t="str">
        <f>IF(OR(AND(AQ50="Moderado",AM50="Rara Vez"),AND(AQ50="Moderado",AM50="Improbable")),"Moderado",IF(OR(AND(AQ50="Mayor",AM50="Improbable"),AND(AQ50="Mayor",AM50="Rara Vez"),AND(AQ50="Moderado",AM50="Probable"),AND(AQ50="Moderado",AM50="Posible")),"Alto",IF(OR(AND(AQ50="Moderado",AM50="Casi Seguro"),AND(AQ50="Mayor",AM50="Posible"),AND(AQ50="Mayor",AM50="Probable"),AND(AQ50="Mayor",AM50="Casi Seguro")),"Extremo",IF(AQ50="Catastrófico","Extremo"))))</f>
        <v>Moderado</v>
      </c>
      <c r="AS50" s="248" t="s">
        <v>111</v>
      </c>
      <c r="AT50" s="186"/>
      <c r="AU50" s="186"/>
      <c r="AV50" s="117"/>
      <c r="AW50" s="117"/>
      <c r="AX50" s="118"/>
      <c r="AY50" s="187"/>
      <c r="AZ50" s="227"/>
      <c r="BA50" s="227" t="s">
        <v>93</v>
      </c>
    </row>
    <row r="51" spans="1:53" s="86" customFormat="1" ht="24" customHeight="1" x14ac:dyDescent="0.25">
      <c r="A51" s="244"/>
      <c r="B51" s="227"/>
      <c r="C51" s="227"/>
      <c r="D51" s="227"/>
      <c r="E51" s="227"/>
      <c r="F51" s="229"/>
      <c r="G51" s="229"/>
      <c r="H51" s="228"/>
      <c r="I51" s="229"/>
      <c r="J51" s="229"/>
      <c r="K51" s="229"/>
      <c r="L51" s="187">
        <v>2</v>
      </c>
      <c r="M51" s="661" t="s">
        <v>550</v>
      </c>
      <c r="N51" s="115" t="s">
        <v>67</v>
      </c>
      <c r="O51" s="175">
        <f t="shared" ref="O51:O54" si="99">IF(N51="Asignado",15,IF(N51="NO asignado",0))</f>
        <v>15</v>
      </c>
      <c r="P51" s="116" t="s">
        <v>68</v>
      </c>
      <c r="Q51" s="175">
        <f t="shared" ref="Q51:Q54" si="100">IF(P51="Adecuado",15,IF(P51="Inadecuado",0))</f>
        <v>15</v>
      </c>
      <c r="R51" s="116" t="s">
        <v>69</v>
      </c>
      <c r="S51" s="175">
        <f t="shared" ref="S51:S54" si="101">IF(R51="Oportuna",15,IF(R51="Inoportuna",0))</f>
        <v>15</v>
      </c>
      <c r="T51" s="116" t="s">
        <v>70</v>
      </c>
      <c r="U51" s="175">
        <f t="shared" ref="U51:U54" si="102">IF(T51="Prevenir",15,IF(T51="Detectar",10,IF(T51="No es un control",0)))</f>
        <v>15</v>
      </c>
      <c r="V51" s="116" t="s">
        <v>71</v>
      </c>
      <c r="W51" s="175">
        <f t="shared" ref="W51:W54" si="103">IF(V51="Confiable",15,IF(V51="No confiable",0))</f>
        <v>15</v>
      </c>
      <c r="X51" s="116" t="s">
        <v>72</v>
      </c>
      <c r="Y51" s="175">
        <f t="shared" ref="Y51:Y54" si="104">IF(X51="Se investigan oportunamente",15,IF(X51="No se investigan oportunamente",0))</f>
        <v>15</v>
      </c>
      <c r="Z51" s="116" t="s">
        <v>90</v>
      </c>
      <c r="AA51" s="175">
        <f t="shared" ref="AA51:AA54" si="105">IF(Z51="Completa",10,IF(Z51="Incompleta",5,IF(Z51="No existe",0)))</f>
        <v>10</v>
      </c>
      <c r="AB51" s="185">
        <f t="shared" ref="AB51:AB54" si="106">O51+Q51+S51+U51+W51+Y51+AA51</f>
        <v>100</v>
      </c>
      <c r="AC51" s="185" t="str">
        <f t="shared" ref="AC51:AC54" si="107">IF(AB51&lt;86,"Débil",(IF(AB51&lt;96,"Moderado","Fuerte")))</f>
        <v>Fuerte</v>
      </c>
      <c r="AD51" s="185" t="s">
        <v>74</v>
      </c>
      <c r="AE51" s="185" t="str">
        <f t="shared" ref="AE51:AE54" si="108">IF(OR(AND(AC51="Fuerte",AD51="Moderado"),AND(AC51="Moderado",AD51="Fuerte"),AND(AC51="Moderado",AD51="Moderado")),"Moderado",IF(OR(AND(AC51="Fuerte",AD51="Débil"),AND(AC51="Moderado",AD51="Débil"),AND(AC51="Débil")),"Débil",IF(AND(AC51="Fuerte",AD51="Fuerte"),"Fuerte")))</f>
        <v>Fuerte</v>
      </c>
      <c r="AF51" s="185" t="str">
        <f t="shared" ref="AF51:AF54" si="109">IF(AE51="Fuerte","100",IF(AE51="Moderado","50",IF(AE51="Débil","0")))</f>
        <v>100</v>
      </c>
      <c r="AG51" s="232"/>
      <c r="AH51" s="232"/>
      <c r="AI51" s="232"/>
      <c r="AJ51" s="232"/>
      <c r="AK51" s="239"/>
      <c r="AL51" s="231"/>
      <c r="AM51" s="229"/>
      <c r="AN51" s="243"/>
      <c r="AO51" s="242"/>
      <c r="AP51" s="231"/>
      <c r="AQ51" s="229"/>
      <c r="AR51" s="232"/>
      <c r="AS51" s="248"/>
      <c r="AT51" s="186"/>
      <c r="AU51" s="187"/>
      <c r="AV51" s="117"/>
      <c r="AW51" s="117"/>
      <c r="AX51" s="186"/>
      <c r="AY51" s="187"/>
      <c r="AZ51" s="227"/>
      <c r="BA51" s="227"/>
    </row>
    <row r="52" spans="1:53" s="86" customFormat="1" ht="24" customHeight="1" x14ac:dyDescent="0.25">
      <c r="A52" s="244"/>
      <c r="B52" s="227"/>
      <c r="C52" s="227"/>
      <c r="D52" s="227"/>
      <c r="E52" s="227"/>
      <c r="F52" s="229"/>
      <c r="G52" s="229"/>
      <c r="H52" s="228"/>
      <c r="I52" s="229"/>
      <c r="J52" s="229"/>
      <c r="K52" s="229"/>
      <c r="L52" s="187">
        <v>3</v>
      </c>
      <c r="M52" s="135"/>
      <c r="N52" s="115"/>
      <c r="O52" s="175" t="b">
        <f t="shared" si="99"/>
        <v>0</v>
      </c>
      <c r="P52" s="116"/>
      <c r="Q52" s="175" t="b">
        <f t="shared" si="100"/>
        <v>0</v>
      </c>
      <c r="R52" s="116"/>
      <c r="S52" s="175" t="b">
        <f t="shared" si="101"/>
        <v>0</v>
      </c>
      <c r="T52" s="116"/>
      <c r="U52" s="175" t="b">
        <f t="shared" si="102"/>
        <v>0</v>
      </c>
      <c r="V52" s="116"/>
      <c r="W52" s="175" t="b">
        <f t="shared" si="103"/>
        <v>0</v>
      </c>
      <c r="X52" s="116"/>
      <c r="Y52" s="175" t="b">
        <f t="shared" si="104"/>
        <v>0</v>
      </c>
      <c r="Z52" s="116"/>
      <c r="AA52" s="175" t="b">
        <f t="shared" si="105"/>
        <v>0</v>
      </c>
      <c r="AB52" s="185">
        <f t="shared" si="106"/>
        <v>0</v>
      </c>
      <c r="AC52" s="185" t="str">
        <f t="shared" si="107"/>
        <v>Débil</v>
      </c>
      <c r="AD52" s="185"/>
      <c r="AE52" s="185" t="str">
        <f t="shared" si="108"/>
        <v>Débil</v>
      </c>
      <c r="AF52" s="185" t="str">
        <f t="shared" si="109"/>
        <v>0</v>
      </c>
      <c r="AG52" s="232"/>
      <c r="AH52" s="232"/>
      <c r="AI52" s="232"/>
      <c r="AJ52" s="232"/>
      <c r="AK52" s="239"/>
      <c r="AL52" s="231"/>
      <c r="AM52" s="229"/>
      <c r="AN52" s="243"/>
      <c r="AO52" s="242"/>
      <c r="AP52" s="231"/>
      <c r="AQ52" s="229"/>
      <c r="AR52" s="232"/>
      <c r="AS52" s="248"/>
      <c r="AT52" s="186"/>
      <c r="AU52" s="187"/>
      <c r="AV52" s="117"/>
      <c r="AW52" s="117"/>
      <c r="AX52" s="186"/>
      <c r="AY52" s="187"/>
      <c r="AZ52" s="227"/>
      <c r="BA52" s="227"/>
    </row>
    <row r="53" spans="1:53" s="86" customFormat="1" ht="24" customHeight="1" x14ac:dyDescent="0.25">
      <c r="A53" s="244"/>
      <c r="B53" s="227"/>
      <c r="C53" s="227"/>
      <c r="D53" s="227"/>
      <c r="E53" s="227"/>
      <c r="F53" s="229"/>
      <c r="G53" s="229"/>
      <c r="H53" s="228"/>
      <c r="I53" s="229"/>
      <c r="J53" s="229"/>
      <c r="K53" s="229"/>
      <c r="L53" s="187">
        <v>4</v>
      </c>
      <c r="M53" s="135"/>
      <c r="N53" s="115"/>
      <c r="O53" s="175" t="b">
        <f t="shared" si="99"/>
        <v>0</v>
      </c>
      <c r="P53" s="116"/>
      <c r="Q53" s="175" t="b">
        <f t="shared" si="100"/>
        <v>0</v>
      </c>
      <c r="R53" s="116"/>
      <c r="S53" s="175" t="b">
        <f t="shared" si="101"/>
        <v>0</v>
      </c>
      <c r="T53" s="116"/>
      <c r="U53" s="175" t="b">
        <f t="shared" si="102"/>
        <v>0</v>
      </c>
      <c r="V53" s="116"/>
      <c r="W53" s="175" t="b">
        <f t="shared" si="103"/>
        <v>0</v>
      </c>
      <c r="X53" s="116"/>
      <c r="Y53" s="175" t="b">
        <f t="shared" si="104"/>
        <v>0</v>
      </c>
      <c r="Z53" s="116"/>
      <c r="AA53" s="175" t="b">
        <f t="shared" si="105"/>
        <v>0</v>
      </c>
      <c r="AB53" s="185">
        <f t="shared" si="106"/>
        <v>0</v>
      </c>
      <c r="AC53" s="185" t="str">
        <f t="shared" si="107"/>
        <v>Débil</v>
      </c>
      <c r="AD53" s="185"/>
      <c r="AE53" s="185" t="str">
        <f t="shared" si="108"/>
        <v>Débil</v>
      </c>
      <c r="AF53" s="185" t="str">
        <f t="shared" si="109"/>
        <v>0</v>
      </c>
      <c r="AG53" s="232"/>
      <c r="AH53" s="232"/>
      <c r="AI53" s="232"/>
      <c r="AJ53" s="232"/>
      <c r="AK53" s="239"/>
      <c r="AL53" s="231"/>
      <c r="AM53" s="229"/>
      <c r="AN53" s="243"/>
      <c r="AO53" s="242"/>
      <c r="AP53" s="231"/>
      <c r="AQ53" s="229"/>
      <c r="AR53" s="232"/>
      <c r="AS53" s="248"/>
      <c r="AT53" s="186"/>
      <c r="AU53" s="187"/>
      <c r="AV53" s="117"/>
      <c r="AW53" s="117"/>
      <c r="AX53" s="186"/>
      <c r="AY53" s="187"/>
      <c r="AZ53" s="227"/>
      <c r="BA53" s="227"/>
    </row>
    <row r="54" spans="1:53" s="86" customFormat="1" ht="24" customHeight="1" x14ac:dyDescent="0.25">
      <c r="A54" s="244"/>
      <c r="B54" s="227"/>
      <c r="C54" s="227"/>
      <c r="D54" s="227"/>
      <c r="E54" s="227"/>
      <c r="F54" s="229"/>
      <c r="G54" s="229"/>
      <c r="H54" s="228"/>
      <c r="I54" s="229"/>
      <c r="J54" s="229"/>
      <c r="K54" s="229"/>
      <c r="L54" s="187">
        <v>5</v>
      </c>
      <c r="M54" s="135"/>
      <c r="N54" s="115"/>
      <c r="O54" s="175" t="b">
        <f t="shared" si="99"/>
        <v>0</v>
      </c>
      <c r="P54" s="116"/>
      <c r="Q54" s="175" t="b">
        <f t="shared" si="100"/>
        <v>0</v>
      </c>
      <c r="R54" s="116"/>
      <c r="S54" s="175" t="b">
        <f t="shared" si="101"/>
        <v>0</v>
      </c>
      <c r="T54" s="116"/>
      <c r="U54" s="175" t="b">
        <f t="shared" si="102"/>
        <v>0</v>
      </c>
      <c r="V54" s="116"/>
      <c r="W54" s="175" t="b">
        <f t="shared" si="103"/>
        <v>0</v>
      </c>
      <c r="X54" s="116"/>
      <c r="Y54" s="175" t="b">
        <f t="shared" si="104"/>
        <v>0</v>
      </c>
      <c r="Z54" s="116"/>
      <c r="AA54" s="175" t="b">
        <f t="shared" si="105"/>
        <v>0</v>
      </c>
      <c r="AB54" s="185">
        <f t="shared" si="106"/>
        <v>0</v>
      </c>
      <c r="AC54" s="185" t="str">
        <f t="shared" si="107"/>
        <v>Débil</v>
      </c>
      <c r="AD54" s="185"/>
      <c r="AE54" s="185" t="str">
        <f t="shared" si="108"/>
        <v>Débil</v>
      </c>
      <c r="AF54" s="185" t="str">
        <f t="shared" si="109"/>
        <v>0</v>
      </c>
      <c r="AG54" s="232"/>
      <c r="AH54" s="232"/>
      <c r="AI54" s="232"/>
      <c r="AJ54" s="232"/>
      <c r="AK54" s="239"/>
      <c r="AL54" s="231"/>
      <c r="AM54" s="229"/>
      <c r="AN54" s="243"/>
      <c r="AO54" s="242"/>
      <c r="AP54" s="231"/>
      <c r="AQ54" s="229"/>
      <c r="AR54" s="232"/>
      <c r="AS54" s="248"/>
      <c r="AT54" s="186"/>
      <c r="AU54" s="187"/>
      <c r="AV54" s="117"/>
      <c r="AW54" s="117"/>
      <c r="AX54" s="186"/>
      <c r="AY54" s="187"/>
      <c r="AZ54" s="227"/>
      <c r="BA54" s="227"/>
    </row>
    <row r="55" spans="1:53" s="86" customFormat="1" ht="24" customHeight="1" x14ac:dyDescent="0.2">
      <c r="A55" s="244" t="s">
        <v>551</v>
      </c>
      <c r="B55" s="227" t="s">
        <v>112</v>
      </c>
      <c r="C55" s="227" t="s">
        <v>552</v>
      </c>
      <c r="D55" s="227" t="s">
        <v>553</v>
      </c>
      <c r="E55" s="227" t="s">
        <v>94</v>
      </c>
      <c r="F55" s="229" t="str">
        <f>IF(AND(E55=[6]calificación_impacto_corrupción!$B$2),[6]calificación_impacto_corrupción!$A$2,IF(AND(E55=[6]calificación_impacto_corrupción!$B$3),[6]calificación_impacto_corrupción!$A$3,IF(AND(E55=[6]calificación_impacto_corrupción!$B$4),[6]calificación_impacto_corrupción!$A$4,IF(AND(E55=[6]calificación_impacto_corrupción!$B$5),[6]calificación_impacto_corrupción!$A$5,IF(AND(E55=[6]calificación_impacto_corrupción!$B$6),[6]calificación_impacto_corrupción!$A$6,FALSE)))))</f>
        <v>Improbable</v>
      </c>
      <c r="G55" s="229" t="str">
        <f>IF(AND(E55=[6]calificación_impacto_corrupción!$B$6),"20%",IF(AND(E55=[6]calificación_impacto_corrupción!$B$5),"40%",IF(AND(E55=[6]calificación_impacto_corrupción!$B$4),"60%",IF(AND(E55=[6]calificación_impacto_corrupción!$B$3),"80%",IF(AND(E55=[6]calificación_impacto_corrupción!$B$2),"100%",FALSE)))))</f>
        <v>40%</v>
      </c>
      <c r="H55" s="228" t="s">
        <v>65</v>
      </c>
      <c r="I55" s="229" t="str">
        <f>IF(AND(H55=[13]DESPLEGABLES!$A$19),"Leve",IF(AND(H55=[13]DESPLEGABLES!$A$20),"Menor",IF(AND(H55=[13]DESPLEGABLES!$A$21),"Moderado",IF(AND(H55=[13]DESPLEGABLES!$A$22),"Mayor",IF(AND(H55=[13]DESPLEGABLES!$A$23),"Catastrófico",IF(AND(H55=[13]DESPLEGABLES!$A$25),"Leve",IF(AND(H55=[13]DESPLEGABLES!$A$26),"Menor",IF(AND(H55=[13]DESPLEGABLES!$A$27),"Moderado",IF(AND(H55=[13]DESPLEGABLES!$A$28),"Mayor",IF(AND(H55=[13]DESPLEGABLES!$A$29),"Catastrófico",IF(AND(H55=[13]DESPLEGABLES!$A$31),"Moderado",IF(AND(H55=[13]DESPLEGABLES!$A$32),"Mayor",IF(AND(H55=[13]DESPLEGABLES!$A$33),"Catastrófico","")))))))))))))</f>
        <v>Catastrófico</v>
      </c>
      <c r="J55" s="229" t="str">
        <f>IF(AND(I55="Leve"),"20%",IF(AND(I55="Menor"),"40%",IF(AND(I55="Moderado"),"60%",IF(AND(I55="Mayor"),"80%",IF(AND(I55="Catastrófico"),"100%","")))))</f>
        <v>100%</v>
      </c>
      <c r="K55" s="229" t="str">
        <f>IF(AND(G55&lt;="40%",J55="20%"),"Bajo",IF(AND(G55="60%",J55="20%"),"Moderado",IF(AND(G55="80%",J55="20%"),"Moderado",IF(AND(G55="100%",J55="20%"),"Alto",IF(AND(G55="20%",J55="40%"),"Bajo",IF(AND(G55="40%",J55="40%"),"Moderado",IF(AND(G55="60%",J55="40%"),"Moderado",IF(AND(G55="80%",J55="40%"),"Moderado",IF(AND(G55="100%",J55="40%"),"Alto",IF(AND(G55="20%",J55="60%"),"Moderado",IF(AND(G55="40%",J55="60%"),"Moderado",IF(AND(G55="60%",J55="60%"),"Moderado",IF(AND(G55="80%",J55="60%"),"Alto",IF(AND(G55="100%",J55="60%"),"Alto",IF(AND(G55="20%",J55="80%"),"Alto",IF(AND(G55="40%",J55="80%"),"Alto",IF(AND(G55="60%",J55="80%"),"Alto",IF(AND(G55="80%",J55="80%"),"Alto",IF(AND(G55="100%",J55="80%"),"Alto",IF(AND(G55="20%",J55="100%"),"Extremo",IF(AND(G55="40%",J55="100%"),"Extremo",IF(AND(G55="60%",J55="100%"),"Extremo",IF(AND(G55="80%",J55="100%"),"Moderado",IF(AND(G55="100%",J55="100%"),"Extremo",""))))))))))))))))))))))))</f>
        <v>Extremo</v>
      </c>
      <c r="L55" s="187">
        <v>1</v>
      </c>
      <c r="M55" s="661" t="s">
        <v>554</v>
      </c>
      <c r="N55" s="115" t="s">
        <v>67</v>
      </c>
      <c r="O55" s="175">
        <f>IF(N55="Asignado",15,IF(N55="NO asignado",0))</f>
        <v>15</v>
      </c>
      <c r="P55" s="116" t="s">
        <v>68</v>
      </c>
      <c r="Q55" s="175">
        <f>IF(P55="Adecuado",15,IF(P55="Inadecuado",0))</f>
        <v>15</v>
      </c>
      <c r="R55" s="116" t="s">
        <v>69</v>
      </c>
      <c r="S55" s="175">
        <f>IF(R55="Oportuna",15,IF(R55="Inoportuna",0))</f>
        <v>15</v>
      </c>
      <c r="T55" s="116" t="s">
        <v>70</v>
      </c>
      <c r="U55" s="175">
        <f>IF(T55="Prevenir",15,IF(T55="Detectar",10,IF(T55="No es un control",0)))</f>
        <v>15</v>
      </c>
      <c r="V55" s="116" t="s">
        <v>71</v>
      </c>
      <c r="W55" s="175">
        <f>IF(V55="Confiable",15,IF(V55="No confiable",0))</f>
        <v>15</v>
      </c>
      <c r="X55" s="116" t="s">
        <v>72</v>
      </c>
      <c r="Y55" s="175">
        <f>IF(X55="Se investigan oportunamente",15,IF(X55="No se investigan oportunamente",0))</f>
        <v>15</v>
      </c>
      <c r="Z55" s="116" t="s">
        <v>90</v>
      </c>
      <c r="AA55" s="175">
        <f>IF(Z55="Completa",10,IF(Z55="Incompleta",5,IF(Z55="No existe",0)))</f>
        <v>10</v>
      </c>
      <c r="AB55" s="185">
        <f>O55+Q55+S55+U55+W55+Y55+AA55</f>
        <v>100</v>
      </c>
      <c r="AC55" s="185" t="str">
        <f>IF(AB55&lt;86,"Débil",(IF(AB55&lt;96,"Moderado","Fuerte")))</f>
        <v>Fuerte</v>
      </c>
      <c r="AD55" s="185" t="s">
        <v>74</v>
      </c>
      <c r="AE55" s="185" t="str">
        <f>IF(OR(AND(AC55="Fuerte",AD55="Moderado"),AND(AC55="Moderado",AD55="Fuerte"),AND(AC55="Moderado",AD55="Moderado")),"Moderado",IF(OR(AND(AC55="Fuerte",AD55="Débil"),AND(AC55="Moderado",AD55="Débil"),AND(AC55="Débil")),"Débil",IF(AND(AC55="Fuerte",AD55="Fuerte"),"Fuerte")))</f>
        <v>Fuerte</v>
      </c>
      <c r="AF55" s="185" t="str">
        <f>IF(AE55="Fuerte","100",IF(AE55="Moderado","50",IF(AE55="Débil","0")))</f>
        <v>100</v>
      </c>
      <c r="AG55" s="232">
        <v>1</v>
      </c>
      <c r="AH55" s="232">
        <f>(AF55+AF56+AF57+AF58+AF59)/AG55</f>
        <v>100</v>
      </c>
      <c r="AI55" s="232" t="str">
        <f>IF(AH55&lt;50,"Débil",IF(AH55&lt;=99,"Moderado",IF(AH55=100,"Fuerte",IF(AH55="","ERROR"))))</f>
        <v>Fuerte</v>
      </c>
      <c r="AJ55" s="232" t="s">
        <v>75</v>
      </c>
      <c r="AK55" s="239">
        <f>IF(AI55="Débil",0,IF(AND(AI55="Moderado",AJ55="Directamente"),20%,IF(AND(AI55="Moderado",AJ55="No disminuye"),0,IF(AND(AI55="Fuerte",AJ55="Directamente"),40%,IF(AND(AI55="Fuerte",AJ55="No disminuye"),0)))))</f>
        <v>0.4</v>
      </c>
      <c r="AL55" s="230">
        <f>AK55-G55</f>
        <v>0</v>
      </c>
      <c r="AM55" s="229" t="str">
        <f>IF(AL55=100%,"Casi Seguro",IF(AL55=80,"Probable",IF(AL55=60%,"Posible",IF(AL55=40%,"Improbable",IF(AL55=20%,"Rara Vez",IF(AL55=0,"Rara Vez",IF(AL55&lt;0,"Rara Vez")))))))</f>
        <v>Rara Vez</v>
      </c>
      <c r="AN55" s="243" t="s">
        <v>76</v>
      </c>
      <c r="AO55" s="242">
        <f>IF(AI55="Débil",0,IF(AND(AI55="Moderado",AN55="Directamente"),20%,IF(AND(AI55="Moderado",AN55="Indirectamente"),0,IF(AND(AI55="Moderado",AN55="No disminuye"),0,IF(AND(AI55="Fuerte",AN55="Directamente"),40%,IF(AND(AI55="Fuerte",AN55="Indirectamente"),20%,IF(AND(AI55="Fuerte",AN55="No disminuye"),0)))))))</f>
        <v>0.2</v>
      </c>
      <c r="AP55" s="230">
        <f>J55-AO55</f>
        <v>0.8</v>
      </c>
      <c r="AQ55" s="229" t="str">
        <f>IF(AP55=100%,"Catastrófico",IF(AP55=80%,"Mayor",IF(AP55=60%,"Moderado",IF(AP55&lt;=60%,"Moderado"))))</f>
        <v>Mayor</v>
      </c>
      <c r="AR55" s="232" t="str">
        <f>IF(OR(AND(AQ55="Moderado",AM55="Rara Vez"),AND(AQ55="Moderado",AM55="Improbable")),"Moderado",IF(OR(AND(AQ55="Mayor",AM55="Improbable"),AND(AQ55="Mayor",AM55="Rara Vez"),AND(AQ55="Moderado",AM55="Probable"),AND(AQ55="Moderado",AM55="Posible")),"Alto",IF(OR(AND(AQ55="Moderado",AM55="Casi Seguro"),AND(AQ55="Mayor",AM55="Posible"),AND(AQ55="Mayor",AM55="Probable"),AND(AQ55="Mayor",AM55="Casi Seguro")),"Extremo",IF(AQ55="Catastrófico","Extremo"))))</f>
        <v>Alto</v>
      </c>
      <c r="AS55" s="248" t="s">
        <v>77</v>
      </c>
      <c r="AT55" s="186"/>
      <c r="AU55" s="186"/>
      <c r="AV55" s="118"/>
      <c r="AW55" s="118"/>
      <c r="AX55" s="118"/>
      <c r="AY55" s="187"/>
      <c r="AZ55" s="227" t="s">
        <v>555</v>
      </c>
      <c r="BA55" s="227" t="s">
        <v>93</v>
      </c>
    </row>
    <row r="56" spans="1:53" s="86" customFormat="1" ht="24" customHeight="1" x14ac:dyDescent="0.25">
      <c r="A56" s="244"/>
      <c r="B56" s="227"/>
      <c r="C56" s="227"/>
      <c r="D56" s="227"/>
      <c r="E56" s="227"/>
      <c r="F56" s="229"/>
      <c r="G56" s="229"/>
      <c r="H56" s="228"/>
      <c r="I56" s="229"/>
      <c r="J56" s="229"/>
      <c r="K56" s="229"/>
      <c r="L56" s="187">
        <v>2</v>
      </c>
      <c r="M56" s="135"/>
      <c r="N56" s="115"/>
      <c r="O56" s="175" t="b">
        <f t="shared" ref="O56:O59" si="110">IF(N56="Asignado",15,IF(N56="NO asignado",0))</f>
        <v>0</v>
      </c>
      <c r="P56" s="116"/>
      <c r="Q56" s="175" t="b">
        <f t="shared" ref="Q56:Q59" si="111">IF(P56="Adecuado",15,IF(P56="Inadecuado",0))</f>
        <v>0</v>
      </c>
      <c r="R56" s="116"/>
      <c r="S56" s="175" t="b">
        <f t="shared" ref="S56:S59" si="112">IF(R56="Oportuna",15,IF(R56="Inoportuna",0))</f>
        <v>0</v>
      </c>
      <c r="T56" s="116"/>
      <c r="U56" s="175" t="b">
        <f t="shared" ref="U56:U59" si="113">IF(T56="Prevenir",15,IF(T56="Detectar",10,IF(T56="No es un control",0)))</f>
        <v>0</v>
      </c>
      <c r="V56" s="116"/>
      <c r="W56" s="175" t="b">
        <f t="shared" ref="W56:W59" si="114">IF(V56="Confiable",15,IF(V56="No confiable",0))</f>
        <v>0</v>
      </c>
      <c r="X56" s="116"/>
      <c r="Y56" s="175" t="b">
        <f t="shared" ref="Y56:Y59" si="115">IF(X56="Se investigan oportunamente",15,IF(X56="No se investigan oportunamente",0))</f>
        <v>0</v>
      </c>
      <c r="Z56" s="116"/>
      <c r="AA56" s="175" t="b">
        <f t="shared" ref="AA56:AA59" si="116">IF(Z56="Completa",10,IF(Z56="Incompleta",5,IF(Z56="No existe",0)))</f>
        <v>0</v>
      </c>
      <c r="AB56" s="185">
        <f t="shared" ref="AB56:AB59" si="117">O56+Q56+S56+U56+W56+Y56+AA56</f>
        <v>0</v>
      </c>
      <c r="AC56" s="185" t="str">
        <f t="shared" ref="AC56:AC59" si="118">IF(AB56&lt;86,"Débil",(IF(AB56&lt;96,"Moderado","Fuerte")))</f>
        <v>Débil</v>
      </c>
      <c r="AD56" s="185"/>
      <c r="AE56" s="185" t="str">
        <f t="shared" ref="AE56:AE59" si="119">IF(OR(AND(AC56="Fuerte",AD56="Moderado"),AND(AC56="Moderado",AD56="Fuerte"),AND(AC56="Moderado",AD56="Moderado")),"Moderado",IF(OR(AND(AC56="Fuerte",AD56="Débil"),AND(AC56="Moderado",AD56="Débil"),AND(AC56="Débil")),"Débil",IF(AND(AC56="Fuerte",AD56="Fuerte"),"Fuerte")))</f>
        <v>Débil</v>
      </c>
      <c r="AF56" s="185" t="str">
        <f t="shared" ref="AF56:AF59" si="120">IF(AE56="Fuerte","100",IF(AE56="Moderado","50",IF(AE56="Débil","0")))</f>
        <v>0</v>
      </c>
      <c r="AG56" s="232"/>
      <c r="AH56" s="232"/>
      <c r="AI56" s="232"/>
      <c r="AJ56" s="232"/>
      <c r="AK56" s="239"/>
      <c r="AL56" s="231"/>
      <c r="AM56" s="229"/>
      <c r="AN56" s="243"/>
      <c r="AO56" s="242"/>
      <c r="AP56" s="231"/>
      <c r="AQ56" s="229"/>
      <c r="AR56" s="232"/>
      <c r="AS56" s="248"/>
      <c r="AT56" s="186"/>
      <c r="AU56" s="187"/>
      <c r="AV56" s="186"/>
      <c r="AW56" s="186"/>
      <c r="AX56" s="186"/>
      <c r="AY56" s="187"/>
      <c r="AZ56" s="227"/>
      <c r="BA56" s="227"/>
    </row>
    <row r="57" spans="1:53" s="86" customFormat="1" ht="24" customHeight="1" x14ac:dyDescent="0.25">
      <c r="A57" s="244"/>
      <c r="B57" s="227"/>
      <c r="C57" s="227"/>
      <c r="D57" s="227"/>
      <c r="E57" s="227"/>
      <c r="F57" s="229"/>
      <c r="G57" s="229"/>
      <c r="H57" s="228"/>
      <c r="I57" s="229"/>
      <c r="J57" s="229"/>
      <c r="K57" s="229"/>
      <c r="L57" s="187">
        <v>3</v>
      </c>
      <c r="M57" s="135"/>
      <c r="N57" s="115"/>
      <c r="O57" s="175" t="b">
        <f t="shared" si="110"/>
        <v>0</v>
      </c>
      <c r="P57" s="116"/>
      <c r="Q57" s="175" t="b">
        <f t="shared" si="111"/>
        <v>0</v>
      </c>
      <c r="R57" s="116"/>
      <c r="S57" s="175" t="b">
        <f t="shared" si="112"/>
        <v>0</v>
      </c>
      <c r="T57" s="116"/>
      <c r="U57" s="175" t="b">
        <f t="shared" si="113"/>
        <v>0</v>
      </c>
      <c r="V57" s="116"/>
      <c r="W57" s="175" t="b">
        <f t="shared" si="114"/>
        <v>0</v>
      </c>
      <c r="X57" s="116"/>
      <c r="Y57" s="175" t="b">
        <f t="shared" si="115"/>
        <v>0</v>
      </c>
      <c r="Z57" s="116"/>
      <c r="AA57" s="175" t="b">
        <f t="shared" si="116"/>
        <v>0</v>
      </c>
      <c r="AB57" s="185">
        <f t="shared" si="117"/>
        <v>0</v>
      </c>
      <c r="AC57" s="185" t="str">
        <f t="shared" si="118"/>
        <v>Débil</v>
      </c>
      <c r="AD57" s="185"/>
      <c r="AE57" s="185" t="str">
        <f t="shared" si="119"/>
        <v>Débil</v>
      </c>
      <c r="AF57" s="185" t="str">
        <f t="shared" si="120"/>
        <v>0</v>
      </c>
      <c r="AG57" s="232"/>
      <c r="AH57" s="232"/>
      <c r="AI57" s="232"/>
      <c r="AJ57" s="232"/>
      <c r="AK57" s="239"/>
      <c r="AL57" s="231"/>
      <c r="AM57" s="229"/>
      <c r="AN57" s="243"/>
      <c r="AO57" s="242"/>
      <c r="AP57" s="231"/>
      <c r="AQ57" s="229"/>
      <c r="AR57" s="232"/>
      <c r="AS57" s="248"/>
      <c r="AT57" s="186"/>
      <c r="AU57" s="187"/>
      <c r="AV57" s="186"/>
      <c r="AW57" s="186"/>
      <c r="AX57" s="186"/>
      <c r="AY57" s="187"/>
      <c r="AZ57" s="227"/>
      <c r="BA57" s="227"/>
    </row>
    <row r="58" spans="1:53" s="86" customFormat="1" ht="24" customHeight="1" x14ac:dyDescent="0.25">
      <c r="A58" s="244"/>
      <c r="B58" s="227"/>
      <c r="C58" s="227"/>
      <c r="D58" s="227"/>
      <c r="E58" s="227"/>
      <c r="F58" s="229"/>
      <c r="G58" s="229"/>
      <c r="H58" s="228"/>
      <c r="I58" s="229"/>
      <c r="J58" s="229"/>
      <c r="K58" s="229"/>
      <c r="L58" s="187">
        <v>4</v>
      </c>
      <c r="M58" s="135"/>
      <c r="N58" s="115"/>
      <c r="O58" s="175" t="b">
        <f t="shared" si="110"/>
        <v>0</v>
      </c>
      <c r="P58" s="116"/>
      <c r="Q58" s="175" t="b">
        <f t="shared" si="111"/>
        <v>0</v>
      </c>
      <c r="R58" s="116"/>
      <c r="S58" s="175" t="b">
        <f t="shared" si="112"/>
        <v>0</v>
      </c>
      <c r="T58" s="116"/>
      <c r="U58" s="175" t="b">
        <f t="shared" si="113"/>
        <v>0</v>
      </c>
      <c r="V58" s="116"/>
      <c r="W58" s="175" t="b">
        <f t="shared" si="114"/>
        <v>0</v>
      </c>
      <c r="X58" s="116"/>
      <c r="Y58" s="175" t="b">
        <f t="shared" si="115"/>
        <v>0</v>
      </c>
      <c r="Z58" s="116"/>
      <c r="AA58" s="175" t="b">
        <f t="shared" si="116"/>
        <v>0</v>
      </c>
      <c r="AB58" s="185">
        <f t="shared" si="117"/>
        <v>0</v>
      </c>
      <c r="AC58" s="185" t="str">
        <f t="shared" si="118"/>
        <v>Débil</v>
      </c>
      <c r="AD58" s="185"/>
      <c r="AE58" s="185" t="str">
        <f t="shared" si="119"/>
        <v>Débil</v>
      </c>
      <c r="AF58" s="185" t="str">
        <f t="shared" si="120"/>
        <v>0</v>
      </c>
      <c r="AG58" s="232"/>
      <c r="AH58" s="232"/>
      <c r="AI58" s="232"/>
      <c r="AJ58" s="232"/>
      <c r="AK58" s="239"/>
      <c r="AL58" s="231"/>
      <c r="AM58" s="229"/>
      <c r="AN58" s="243"/>
      <c r="AO58" s="242"/>
      <c r="AP58" s="231"/>
      <c r="AQ58" s="229"/>
      <c r="AR58" s="232"/>
      <c r="AS58" s="248"/>
      <c r="AT58" s="186"/>
      <c r="AU58" s="187"/>
      <c r="AV58" s="186"/>
      <c r="AW58" s="186"/>
      <c r="AX58" s="186"/>
      <c r="AY58" s="187"/>
      <c r="AZ58" s="227"/>
      <c r="BA58" s="227"/>
    </row>
    <row r="59" spans="1:53" s="86" customFormat="1" ht="24" customHeight="1" x14ac:dyDescent="0.25">
      <c r="A59" s="244"/>
      <c r="B59" s="227"/>
      <c r="C59" s="227"/>
      <c r="D59" s="227"/>
      <c r="E59" s="227"/>
      <c r="F59" s="229"/>
      <c r="G59" s="229"/>
      <c r="H59" s="228"/>
      <c r="I59" s="229"/>
      <c r="J59" s="229"/>
      <c r="K59" s="229"/>
      <c r="L59" s="187">
        <v>5</v>
      </c>
      <c r="M59" s="135"/>
      <c r="N59" s="115"/>
      <c r="O59" s="175" t="b">
        <f t="shared" si="110"/>
        <v>0</v>
      </c>
      <c r="P59" s="116"/>
      <c r="Q59" s="175" t="b">
        <f t="shared" si="111"/>
        <v>0</v>
      </c>
      <c r="R59" s="116"/>
      <c r="S59" s="175" t="b">
        <f t="shared" si="112"/>
        <v>0</v>
      </c>
      <c r="T59" s="116"/>
      <c r="U59" s="175" t="b">
        <f t="shared" si="113"/>
        <v>0</v>
      </c>
      <c r="V59" s="116"/>
      <c r="W59" s="175" t="b">
        <f t="shared" si="114"/>
        <v>0</v>
      </c>
      <c r="X59" s="116"/>
      <c r="Y59" s="175" t="b">
        <f t="shared" si="115"/>
        <v>0</v>
      </c>
      <c r="Z59" s="116"/>
      <c r="AA59" s="175" t="b">
        <f t="shared" si="116"/>
        <v>0</v>
      </c>
      <c r="AB59" s="185">
        <f t="shared" si="117"/>
        <v>0</v>
      </c>
      <c r="AC59" s="185" t="str">
        <f t="shared" si="118"/>
        <v>Débil</v>
      </c>
      <c r="AD59" s="185"/>
      <c r="AE59" s="185" t="str">
        <f t="shared" si="119"/>
        <v>Débil</v>
      </c>
      <c r="AF59" s="185" t="str">
        <f t="shared" si="120"/>
        <v>0</v>
      </c>
      <c r="AG59" s="232"/>
      <c r="AH59" s="232"/>
      <c r="AI59" s="232"/>
      <c r="AJ59" s="232"/>
      <c r="AK59" s="239"/>
      <c r="AL59" s="231"/>
      <c r="AM59" s="229"/>
      <c r="AN59" s="243"/>
      <c r="AO59" s="242"/>
      <c r="AP59" s="231"/>
      <c r="AQ59" s="229"/>
      <c r="AR59" s="232"/>
      <c r="AS59" s="248"/>
      <c r="AT59" s="186"/>
      <c r="AU59" s="187"/>
      <c r="AV59" s="186"/>
      <c r="AW59" s="186"/>
      <c r="AX59" s="186"/>
      <c r="AY59" s="187"/>
      <c r="AZ59" s="227"/>
      <c r="BA59" s="227"/>
    </row>
    <row r="60" spans="1:53" s="86" customFormat="1" ht="24" customHeight="1" x14ac:dyDescent="0.2">
      <c r="A60" s="244" t="s">
        <v>556</v>
      </c>
      <c r="B60" s="227" t="s">
        <v>112</v>
      </c>
      <c r="C60" s="227" t="s">
        <v>557</v>
      </c>
      <c r="D60" s="227" t="s">
        <v>558</v>
      </c>
      <c r="E60" s="227" t="s">
        <v>94</v>
      </c>
      <c r="F60" s="229" t="str">
        <f>IF(AND(E60=[6]calificación_impacto_corrupción!$B$2),[6]calificación_impacto_corrupción!$A$2,IF(AND(E60=[6]calificación_impacto_corrupción!$B$3),[6]calificación_impacto_corrupción!$A$3,IF(AND(E60=[6]calificación_impacto_corrupción!$B$4),[6]calificación_impacto_corrupción!$A$4,IF(AND(E60=[6]calificación_impacto_corrupción!$B$5),[6]calificación_impacto_corrupción!$A$5,IF(AND(E60=[6]calificación_impacto_corrupción!$B$6),[6]calificación_impacto_corrupción!$A$6,FALSE)))))</f>
        <v>Improbable</v>
      </c>
      <c r="G60" s="229" t="str">
        <f>IF(AND(E60=[6]calificación_impacto_corrupción!$B$6),"20%",IF(AND(E60=[6]calificación_impacto_corrupción!$B$5),"40%",IF(AND(E60=[6]calificación_impacto_corrupción!$B$4),"60%",IF(AND(E60=[6]calificación_impacto_corrupción!$B$3),"80%",IF(AND(E60=[6]calificación_impacto_corrupción!$B$2),"100%",FALSE)))))</f>
        <v>40%</v>
      </c>
      <c r="H60" s="228" t="s">
        <v>65</v>
      </c>
      <c r="I60" s="229" t="str">
        <f>IF(AND(H60=[13]DESPLEGABLES!$A$19),"Leve",IF(AND(H60=[13]DESPLEGABLES!$A$20),"Menor",IF(AND(H60=[13]DESPLEGABLES!$A$21),"Moderado",IF(AND(H60=[13]DESPLEGABLES!$A$22),"Mayor",IF(AND(H60=[13]DESPLEGABLES!$A$23),"Catastrófico",IF(AND(H60=[13]DESPLEGABLES!$A$25),"Leve",IF(AND(H60=[13]DESPLEGABLES!$A$26),"Menor",IF(AND(H60=[13]DESPLEGABLES!$A$27),"Moderado",IF(AND(H60=[13]DESPLEGABLES!$A$28),"Mayor",IF(AND(H60=[13]DESPLEGABLES!$A$29),"Catastrófico",IF(AND(H60=[13]DESPLEGABLES!$A$31),"Moderado",IF(AND(H60=[13]DESPLEGABLES!$A$32),"Mayor",IF(AND(H60=[13]DESPLEGABLES!$A$33),"Catastrófico","")))))))))))))</f>
        <v>Catastrófico</v>
      </c>
      <c r="J60" s="229" t="str">
        <f>IF(AND(I60="Leve"),"20%",IF(AND(I60="Menor"),"40%",IF(AND(I60="Moderado"),"60%",IF(AND(I60="Mayor"),"80%",IF(AND(I60="Catastrófico"),"100%","")))))</f>
        <v>100%</v>
      </c>
      <c r="K60" s="229" t="str">
        <f>IF(AND(G60&lt;="40%",J60="20%"),"Bajo",IF(AND(G60="60%",J60="20%"),"Moderado",IF(AND(G60="80%",J60="20%"),"Moderado",IF(AND(G60="100%",J60="20%"),"Alto",IF(AND(G60="20%",J60="40%"),"Bajo",IF(AND(G60="40%",J60="40%"),"Moderado",IF(AND(G60="60%",J60="40%"),"Moderado",IF(AND(G60="80%",J60="40%"),"Moderado",IF(AND(G60="100%",J60="40%"),"Alto",IF(AND(G60="20%",J60="60%"),"Moderado",IF(AND(G60="40%",J60="60%"),"Moderado",IF(AND(G60="60%",J60="60%"),"Moderado",IF(AND(G60="80%",J60="60%"),"Alto",IF(AND(G60="100%",J60="60%"),"Alto",IF(AND(G60="20%",J60="80%"),"Alto",IF(AND(G60="40%",J60="80%"),"Alto",IF(AND(G60="60%",J60="80%"),"Alto",IF(AND(G60="80%",J60="80%"),"Alto",IF(AND(G60="100%",J60="80%"),"Alto",IF(AND(G60="20%",J60="100%"),"Extremo",IF(AND(G60="40%",J60="100%"),"Extremo",IF(AND(G60="60%",J60="100%"),"Extremo",IF(AND(G60="80%",J60="100%"),"Moderado",IF(AND(G60="100%",J60="100%"),"Extremo",""))))))))))))))))))))))))</f>
        <v>Extremo</v>
      </c>
      <c r="L60" s="187">
        <v>1</v>
      </c>
      <c r="M60" s="661" t="s">
        <v>554</v>
      </c>
      <c r="N60" s="115" t="s">
        <v>67</v>
      </c>
      <c r="O60" s="175">
        <f>IF(N60="Asignado",15,IF(N60="NO asignado",0))</f>
        <v>15</v>
      </c>
      <c r="P60" s="116" t="s">
        <v>68</v>
      </c>
      <c r="Q60" s="175">
        <f>IF(P60="Adecuado",15,IF(P60="Inadecuado",0))</f>
        <v>15</v>
      </c>
      <c r="R60" s="116" t="s">
        <v>69</v>
      </c>
      <c r="S60" s="175">
        <f>IF(R60="Oportuna",15,IF(R60="Inoportuna",0))</f>
        <v>15</v>
      </c>
      <c r="T60" s="116" t="s">
        <v>70</v>
      </c>
      <c r="U60" s="175">
        <f>IF(T60="Prevenir",15,IF(T60="Detectar",10,IF(T60="No es un control",0)))</f>
        <v>15</v>
      </c>
      <c r="V60" s="116" t="s">
        <v>71</v>
      </c>
      <c r="W60" s="175">
        <f>IF(V60="Confiable",15,IF(V60="No confiable",0))</f>
        <v>15</v>
      </c>
      <c r="X60" s="116" t="s">
        <v>72</v>
      </c>
      <c r="Y60" s="175">
        <f>IF(X60="Se investigan oportunamente",15,IF(X60="No se investigan oportunamente",0))</f>
        <v>15</v>
      </c>
      <c r="Z60" s="116" t="s">
        <v>90</v>
      </c>
      <c r="AA60" s="175">
        <f>IF(Z60="Completa",10,IF(Z60="Incompleta",5,IF(Z60="No existe",0)))</f>
        <v>10</v>
      </c>
      <c r="AB60" s="185">
        <f>O60+Q60+S60+U60+W60+Y60+AA60</f>
        <v>100</v>
      </c>
      <c r="AC60" s="185" t="str">
        <f>IF(AB60&lt;86,"Débil",(IF(AB60&lt;96,"Moderado","Fuerte")))</f>
        <v>Fuerte</v>
      </c>
      <c r="AD60" s="185" t="s">
        <v>74</v>
      </c>
      <c r="AE60" s="185" t="str">
        <f>IF(OR(AND(AC60="Fuerte",AD60="Moderado"),AND(AC60="Moderado",AD60="Fuerte"),AND(AC60="Moderado",AD60="Moderado")),"Moderado",IF(OR(AND(AC60="Fuerte",AD60="Débil"),AND(AC60="Moderado",AD60="Débil"),AND(AC60="Débil")),"Débil",IF(AND(AC60="Fuerte",AD60="Fuerte"),"Fuerte")))</f>
        <v>Fuerte</v>
      </c>
      <c r="AF60" s="185" t="str">
        <f>IF(AE60="Fuerte","100",IF(AE60="Moderado","50",IF(AE60="Débil","0")))</f>
        <v>100</v>
      </c>
      <c r="AG60" s="232">
        <v>1</v>
      </c>
      <c r="AH60" s="232">
        <f>(AF60+AF61+AF62+AF63+AF64)/AG60</f>
        <v>100</v>
      </c>
      <c r="AI60" s="232" t="str">
        <f>IF(AH60&lt;50,"Débil",IF(AH60&lt;=99,"Moderado",IF(AH60=100,"Fuerte",IF(AH60="","ERROR"))))</f>
        <v>Fuerte</v>
      </c>
      <c r="AJ60" s="232" t="s">
        <v>75</v>
      </c>
      <c r="AK60" s="239">
        <f>IF(AI60="Débil",0,IF(AND(AI60="Moderado",AJ60="Directamente"),20%,IF(AND(AI60="Moderado",AJ60="No disminuye"),0,IF(AND(AI60="Fuerte",AJ60="Directamente"),40%,IF(AND(AI60="Fuerte",AJ60="No disminuye"),0)))))</f>
        <v>0.4</v>
      </c>
      <c r="AL60" s="230">
        <f>AK60-G60</f>
        <v>0</v>
      </c>
      <c r="AM60" s="229" t="str">
        <f>IF(AL60=100%,"Casi Seguro",IF(AL60=80,"Probable",IF(AL60=60%,"Posible",IF(AL60=40%,"Improbable",IF(AL60=20%,"Rara Vez",IF(AL60=0,"Rara Vez",IF(AL60&lt;0,"Rara Vez")))))))</f>
        <v>Rara Vez</v>
      </c>
      <c r="AN60" s="243" t="s">
        <v>76</v>
      </c>
      <c r="AO60" s="242">
        <f>IF(AI60="Débil",0,IF(AND(AI60="Moderado",AN60="Directamente"),20%,IF(AND(AI60="Moderado",AN60="Indirectamente"),0,IF(AND(AI60="Moderado",AN60="No disminuye"),0,IF(AND(AI60="Fuerte",AN60="Directamente"),40%,IF(AND(AI60="Fuerte",AN60="Indirectamente"),20%,IF(AND(AI60="Fuerte",AN60="No disminuye"),0)))))))</f>
        <v>0.2</v>
      </c>
      <c r="AP60" s="230">
        <f>J60-AO60</f>
        <v>0.8</v>
      </c>
      <c r="AQ60" s="229" t="str">
        <f>IF(AP60=100%,"Catastrófico",IF(AP60=80%,"Mayor",IF(AP60=60%,"Moderado",IF(AP60&lt;=60%,"Moderado"))))</f>
        <v>Mayor</v>
      </c>
      <c r="AR60" s="232" t="str">
        <f>IF(OR(AND(AQ60="Moderado",AM60="Rara Vez"),AND(AQ60="Moderado",AM60="Improbable")),"Moderado",IF(OR(AND(AQ60="Mayor",AM60="Improbable"),AND(AQ60="Mayor",AM60="Rara Vez"),AND(AQ60="Moderado",AM60="Probable"),AND(AQ60="Moderado",AM60="Posible")),"Alto",IF(OR(AND(AQ60="Moderado",AM60="Casi Seguro"),AND(AQ60="Mayor",AM60="Posible"),AND(AQ60="Mayor",AM60="Probable"),AND(AQ60="Mayor",AM60="Casi Seguro")),"Extremo",IF(AQ60="Catastrófico","Extremo"))))</f>
        <v>Alto</v>
      </c>
      <c r="AS60" s="248" t="s">
        <v>77</v>
      </c>
      <c r="AT60" s="186"/>
      <c r="AU60" s="186"/>
      <c r="AV60" s="118"/>
      <c r="AW60" s="118"/>
      <c r="AX60" s="118"/>
      <c r="AY60" s="187"/>
      <c r="AZ60" s="227" t="s">
        <v>559</v>
      </c>
      <c r="BA60" s="227" t="s">
        <v>93</v>
      </c>
    </row>
    <row r="61" spans="1:53" s="86" customFormat="1" ht="24" customHeight="1" x14ac:dyDescent="0.25">
      <c r="A61" s="244"/>
      <c r="B61" s="227"/>
      <c r="C61" s="227"/>
      <c r="D61" s="227"/>
      <c r="E61" s="227"/>
      <c r="F61" s="229"/>
      <c r="G61" s="229"/>
      <c r="H61" s="228"/>
      <c r="I61" s="229"/>
      <c r="J61" s="229"/>
      <c r="K61" s="229"/>
      <c r="L61" s="187">
        <v>2</v>
      </c>
      <c r="M61" s="661"/>
      <c r="N61" s="115"/>
      <c r="O61" s="175" t="b">
        <f t="shared" ref="O61:O64" si="121">IF(N61="Asignado",15,IF(N61="NO asignado",0))</f>
        <v>0</v>
      </c>
      <c r="P61" s="116"/>
      <c r="Q61" s="175" t="b">
        <f t="shared" ref="Q61:Q64" si="122">IF(P61="Adecuado",15,IF(P61="Inadecuado",0))</f>
        <v>0</v>
      </c>
      <c r="R61" s="116"/>
      <c r="S61" s="175" t="b">
        <f t="shared" ref="S61:S64" si="123">IF(R61="Oportuna",15,IF(R61="Inoportuna",0))</f>
        <v>0</v>
      </c>
      <c r="T61" s="116"/>
      <c r="U61" s="175" t="b">
        <f t="shared" ref="U61:U64" si="124">IF(T61="Prevenir",15,IF(T61="Detectar",10,IF(T61="No es un control",0)))</f>
        <v>0</v>
      </c>
      <c r="V61" s="116"/>
      <c r="W61" s="175" t="b">
        <f t="shared" ref="W61:W64" si="125">IF(V61="Confiable",15,IF(V61="No confiable",0))</f>
        <v>0</v>
      </c>
      <c r="X61" s="116"/>
      <c r="Y61" s="175" t="b">
        <f t="shared" ref="Y61:Y64" si="126">IF(X61="Se investigan oportunamente",15,IF(X61="No se investigan oportunamente",0))</f>
        <v>0</v>
      </c>
      <c r="Z61" s="116"/>
      <c r="AA61" s="175" t="b">
        <f t="shared" ref="AA61:AA64" si="127">IF(Z61="Completa",10,IF(Z61="Incompleta",5,IF(Z61="No existe",0)))</f>
        <v>0</v>
      </c>
      <c r="AB61" s="185">
        <f t="shared" ref="AB61:AB64" si="128">O61+Q61+S61+U61+W61+Y61+AA61</f>
        <v>0</v>
      </c>
      <c r="AC61" s="185" t="str">
        <f t="shared" ref="AC61:AC64" si="129">IF(AB61&lt;86,"Débil",(IF(AB61&lt;96,"Moderado","Fuerte")))</f>
        <v>Débil</v>
      </c>
      <c r="AD61" s="185"/>
      <c r="AE61" s="185" t="str">
        <f t="shared" ref="AE61:AE64" si="130">IF(OR(AND(AC61="Fuerte",AD61="Moderado"),AND(AC61="Moderado",AD61="Fuerte"),AND(AC61="Moderado",AD61="Moderado")),"Moderado",IF(OR(AND(AC61="Fuerte",AD61="Débil"),AND(AC61="Moderado",AD61="Débil"),AND(AC61="Débil")),"Débil",IF(AND(AC61="Fuerte",AD61="Fuerte"),"Fuerte")))</f>
        <v>Débil</v>
      </c>
      <c r="AF61" s="185" t="str">
        <f t="shared" ref="AF61:AF64" si="131">IF(AE61="Fuerte","100",IF(AE61="Moderado","50",IF(AE61="Débil","0")))</f>
        <v>0</v>
      </c>
      <c r="AG61" s="232"/>
      <c r="AH61" s="232"/>
      <c r="AI61" s="232"/>
      <c r="AJ61" s="232"/>
      <c r="AK61" s="239"/>
      <c r="AL61" s="231"/>
      <c r="AM61" s="229"/>
      <c r="AN61" s="243"/>
      <c r="AO61" s="242"/>
      <c r="AP61" s="231"/>
      <c r="AQ61" s="229"/>
      <c r="AR61" s="232"/>
      <c r="AS61" s="248"/>
      <c r="AT61" s="186"/>
      <c r="AU61" s="187"/>
      <c r="AV61" s="117"/>
      <c r="AW61" s="117"/>
      <c r="AX61" s="186"/>
      <c r="AY61" s="187"/>
      <c r="AZ61" s="227"/>
      <c r="BA61" s="227"/>
    </row>
    <row r="62" spans="1:53" s="86" customFormat="1" ht="24" customHeight="1" x14ac:dyDescent="0.25">
      <c r="A62" s="244"/>
      <c r="B62" s="227"/>
      <c r="C62" s="227"/>
      <c r="D62" s="227"/>
      <c r="E62" s="227"/>
      <c r="F62" s="229"/>
      <c r="G62" s="229"/>
      <c r="H62" s="228"/>
      <c r="I62" s="229"/>
      <c r="J62" s="229"/>
      <c r="K62" s="229"/>
      <c r="L62" s="187">
        <v>3</v>
      </c>
      <c r="M62" s="134"/>
      <c r="N62" s="115"/>
      <c r="O62" s="175" t="b">
        <f t="shared" si="121"/>
        <v>0</v>
      </c>
      <c r="P62" s="116"/>
      <c r="Q62" s="175" t="b">
        <f t="shared" si="122"/>
        <v>0</v>
      </c>
      <c r="R62" s="116"/>
      <c r="S62" s="175" t="b">
        <f t="shared" si="123"/>
        <v>0</v>
      </c>
      <c r="T62" s="116"/>
      <c r="U62" s="175" t="b">
        <f t="shared" si="124"/>
        <v>0</v>
      </c>
      <c r="V62" s="116"/>
      <c r="W62" s="175" t="b">
        <f t="shared" si="125"/>
        <v>0</v>
      </c>
      <c r="X62" s="116"/>
      <c r="Y62" s="175" t="b">
        <f t="shared" si="126"/>
        <v>0</v>
      </c>
      <c r="Z62" s="116"/>
      <c r="AA62" s="175" t="b">
        <f t="shared" si="127"/>
        <v>0</v>
      </c>
      <c r="AB62" s="185">
        <f t="shared" si="128"/>
        <v>0</v>
      </c>
      <c r="AC62" s="185" t="str">
        <f t="shared" si="129"/>
        <v>Débil</v>
      </c>
      <c r="AD62" s="185"/>
      <c r="AE62" s="185" t="str">
        <f t="shared" si="130"/>
        <v>Débil</v>
      </c>
      <c r="AF62" s="185" t="str">
        <f t="shared" si="131"/>
        <v>0</v>
      </c>
      <c r="AG62" s="232"/>
      <c r="AH62" s="232"/>
      <c r="AI62" s="232"/>
      <c r="AJ62" s="232"/>
      <c r="AK62" s="239"/>
      <c r="AL62" s="231"/>
      <c r="AM62" s="229"/>
      <c r="AN62" s="243"/>
      <c r="AO62" s="242"/>
      <c r="AP62" s="231"/>
      <c r="AQ62" s="229"/>
      <c r="AR62" s="232"/>
      <c r="AS62" s="248"/>
      <c r="AT62" s="186"/>
      <c r="AU62" s="187"/>
      <c r="AV62" s="117"/>
      <c r="AW62" s="117"/>
      <c r="AX62" s="186"/>
      <c r="AY62" s="187"/>
      <c r="AZ62" s="227"/>
      <c r="BA62" s="227"/>
    </row>
    <row r="63" spans="1:53" s="86" customFormat="1" ht="24" customHeight="1" x14ac:dyDescent="0.25">
      <c r="A63" s="244"/>
      <c r="B63" s="227"/>
      <c r="C63" s="227"/>
      <c r="D63" s="227"/>
      <c r="E63" s="227"/>
      <c r="F63" s="229"/>
      <c r="G63" s="229"/>
      <c r="H63" s="228"/>
      <c r="I63" s="229"/>
      <c r="J63" s="229"/>
      <c r="K63" s="229"/>
      <c r="L63" s="187">
        <v>4</v>
      </c>
      <c r="M63" s="134"/>
      <c r="N63" s="115"/>
      <c r="O63" s="175" t="b">
        <f t="shared" si="121"/>
        <v>0</v>
      </c>
      <c r="P63" s="116"/>
      <c r="Q63" s="175" t="b">
        <f t="shared" si="122"/>
        <v>0</v>
      </c>
      <c r="R63" s="116"/>
      <c r="S63" s="175" t="b">
        <f t="shared" si="123"/>
        <v>0</v>
      </c>
      <c r="T63" s="116"/>
      <c r="U63" s="175" t="b">
        <f t="shared" si="124"/>
        <v>0</v>
      </c>
      <c r="V63" s="116"/>
      <c r="W63" s="175" t="b">
        <f t="shared" si="125"/>
        <v>0</v>
      </c>
      <c r="X63" s="116"/>
      <c r="Y63" s="175" t="b">
        <f t="shared" si="126"/>
        <v>0</v>
      </c>
      <c r="Z63" s="116"/>
      <c r="AA63" s="175" t="b">
        <f t="shared" si="127"/>
        <v>0</v>
      </c>
      <c r="AB63" s="185">
        <f t="shared" si="128"/>
        <v>0</v>
      </c>
      <c r="AC63" s="185" t="str">
        <f t="shared" si="129"/>
        <v>Débil</v>
      </c>
      <c r="AD63" s="185"/>
      <c r="AE63" s="185" t="str">
        <f t="shared" si="130"/>
        <v>Débil</v>
      </c>
      <c r="AF63" s="185" t="str">
        <f t="shared" si="131"/>
        <v>0</v>
      </c>
      <c r="AG63" s="232"/>
      <c r="AH63" s="232"/>
      <c r="AI63" s="232"/>
      <c r="AJ63" s="232"/>
      <c r="AK63" s="239"/>
      <c r="AL63" s="231"/>
      <c r="AM63" s="229"/>
      <c r="AN63" s="243"/>
      <c r="AO63" s="242"/>
      <c r="AP63" s="231"/>
      <c r="AQ63" s="229"/>
      <c r="AR63" s="232"/>
      <c r="AS63" s="248"/>
      <c r="AT63" s="186"/>
      <c r="AU63" s="187"/>
      <c r="AV63" s="117"/>
      <c r="AW63" s="117"/>
      <c r="AX63" s="186"/>
      <c r="AY63" s="187"/>
      <c r="AZ63" s="227"/>
      <c r="BA63" s="227"/>
    </row>
    <row r="64" spans="1:53" s="86" customFormat="1" ht="24" customHeight="1" x14ac:dyDescent="0.25">
      <c r="A64" s="244"/>
      <c r="B64" s="227"/>
      <c r="C64" s="227"/>
      <c r="D64" s="227"/>
      <c r="E64" s="227"/>
      <c r="F64" s="229"/>
      <c r="G64" s="229"/>
      <c r="H64" s="228"/>
      <c r="I64" s="229"/>
      <c r="J64" s="229"/>
      <c r="K64" s="229"/>
      <c r="L64" s="187">
        <v>5</v>
      </c>
      <c r="M64" s="134"/>
      <c r="N64" s="115"/>
      <c r="O64" s="175" t="b">
        <f t="shared" si="121"/>
        <v>0</v>
      </c>
      <c r="P64" s="116"/>
      <c r="Q64" s="175" t="b">
        <f t="shared" si="122"/>
        <v>0</v>
      </c>
      <c r="R64" s="116"/>
      <c r="S64" s="175" t="b">
        <f t="shared" si="123"/>
        <v>0</v>
      </c>
      <c r="T64" s="116"/>
      <c r="U64" s="175" t="b">
        <f t="shared" si="124"/>
        <v>0</v>
      </c>
      <c r="V64" s="116"/>
      <c r="W64" s="175" t="b">
        <f t="shared" si="125"/>
        <v>0</v>
      </c>
      <c r="X64" s="116"/>
      <c r="Y64" s="175" t="b">
        <f t="shared" si="126"/>
        <v>0</v>
      </c>
      <c r="Z64" s="116"/>
      <c r="AA64" s="175" t="b">
        <f t="shared" si="127"/>
        <v>0</v>
      </c>
      <c r="AB64" s="185">
        <f t="shared" si="128"/>
        <v>0</v>
      </c>
      <c r="AC64" s="185" t="str">
        <f t="shared" si="129"/>
        <v>Débil</v>
      </c>
      <c r="AD64" s="185"/>
      <c r="AE64" s="185" t="str">
        <f t="shared" si="130"/>
        <v>Débil</v>
      </c>
      <c r="AF64" s="185" t="str">
        <f t="shared" si="131"/>
        <v>0</v>
      </c>
      <c r="AG64" s="232"/>
      <c r="AH64" s="232"/>
      <c r="AI64" s="232"/>
      <c r="AJ64" s="232"/>
      <c r="AK64" s="239"/>
      <c r="AL64" s="231"/>
      <c r="AM64" s="229"/>
      <c r="AN64" s="243"/>
      <c r="AO64" s="242"/>
      <c r="AP64" s="231"/>
      <c r="AQ64" s="229"/>
      <c r="AR64" s="232"/>
      <c r="AS64" s="248"/>
      <c r="AT64" s="186"/>
      <c r="AU64" s="187"/>
      <c r="AV64" s="117"/>
      <c r="AW64" s="117"/>
      <c r="AX64" s="186"/>
      <c r="AY64" s="187"/>
      <c r="AZ64" s="227"/>
      <c r="BA64" s="227"/>
    </row>
    <row r="65" spans="1:53" s="86" customFormat="1" ht="24" customHeight="1" x14ac:dyDescent="0.25">
      <c r="A65" s="647" t="s">
        <v>629</v>
      </c>
      <c r="B65" s="648" t="s">
        <v>851</v>
      </c>
      <c r="C65" s="649" t="s">
        <v>630</v>
      </c>
      <c r="D65" s="649" t="s">
        <v>631</v>
      </c>
      <c r="E65" s="649" t="s">
        <v>94</v>
      </c>
      <c r="F65" s="650" t="str">
        <f>IF(AND(E65=[17]calificación_impacto_corrupción!$B$2),[17]calificación_impacto_corrupción!$A$2,IF(AND(E65=[17]calificación_impacto_corrupción!$B$3),[17]calificación_impacto_corrupción!$A$3,IF(AND(E65=[17]calificación_impacto_corrupción!$B$4),[17]calificación_impacto_corrupción!$A$4,IF(AND(E65=[17]calificación_impacto_corrupción!$B$5),[17]calificación_impacto_corrupción!$A$5,IF(AND(E65=[17]calificación_impacto_corrupción!$B$6),[17]calificación_impacto_corrupción!$A$6,FALSE)))))</f>
        <v>Improbable</v>
      </c>
      <c r="G65" s="650" t="str">
        <f>IF(AND(E65=[17]calificación_impacto_corrupción!$B$6),"20%",IF(AND(E65=[17]calificación_impacto_corrupción!$B$5),"40%",IF(AND(E65=[17]calificación_impacto_corrupción!$B$4),"60%",IF(AND(E65=[17]calificación_impacto_corrupción!$B$3),"80%",IF(AND(E65=[17]calificación_impacto_corrupción!$B$2),"100%",FALSE)))))</f>
        <v>40%</v>
      </c>
      <c r="H65" s="651" t="s">
        <v>65</v>
      </c>
      <c r="I65" s="650" t="str">
        <f>IF(AND(H65=[17]DESPLEGABLES!$A$19),"Leve",IF(AND(H65=[17]DESPLEGABLES!$A$20),"Menor",IF(AND(H65=[17]DESPLEGABLES!$A$21),"Moderado",IF(AND(H65=[17]DESPLEGABLES!$A$22),"Mayor",IF(AND(H65=[17]DESPLEGABLES!$A$23),"Catastrófico",IF(AND(H65=[17]DESPLEGABLES!$A$25),"Leve",IF(AND(H65=[17]DESPLEGABLES!$A$26),"Menor",IF(AND(H65=[17]DESPLEGABLES!$A$27),"Moderado",IF(AND(H65=[17]DESPLEGABLES!$A$28),"Mayor",IF(AND(H65=[17]DESPLEGABLES!$A$29),"Catastrófico",IF(AND(H65=[17]DESPLEGABLES!$A$31),"Moderado",IF(AND(H65=[17]DESPLEGABLES!$A$32),"Mayor",IF(AND(H65=[17]DESPLEGABLES!$A$33),"Catastrófico","")))))))))))))</f>
        <v>Catastrófico</v>
      </c>
      <c r="J65" s="650" t="str">
        <f>IF(AND(I65="Leve"),"20%",IF(AND(I65="Menor"),"40%",IF(AND(I65="Moderado"),"60%",IF(AND(I65="Mayor"),"80%",IF(AND(I65="Catastrófico"),"100%","")))))</f>
        <v>100%</v>
      </c>
      <c r="K65" s="650" t="str">
        <f>IF(AND(G65&lt;="40%",J65="20%"),"Bajo",IF(AND(G65="60%",J65="20%"),"Moderado",IF(AND(G65="80%",J65="20%"),"Moderado",IF(AND(G65="100%",J65="20%"),"Alto",IF(AND(G65="20%",J65="40%"),"Bajo",IF(AND(G65="40%",J65="40%"),"Moderado",IF(AND(G65="60%",J65="40%"),"Moderado",IF(AND(G65="80%",J65="40%"),"Moderado",IF(AND(G65="100%",J65="40%"),"Alto",IF(AND(G65="20%",J65="60%"),"Moderado",IF(AND(G65="40%",J65="60%"),"Moderado",IF(AND(G65="60%",J65="60%"),"Moderado",IF(AND(G65="80%",J65="60%"),"Alto",IF(AND(G65="100%",J65="60%"),"Alto",IF(AND(G65="20%",J65="80%"),"Alto",IF(AND(G65="40%",J65="80%"),"Alto",IF(AND(G65="60%",J65="80%"),"Alto",IF(AND(G65="80%",J65="80%"),"Alto",IF(AND(G65="100%",J65="80%"),"Alto",IF(AND(G65="20%",J65="100%"),"Extremo",IF(AND(G65="40%",J65="100%"),"Extremo",IF(AND(G65="60%",J65="100%"),"Extremo",IF(AND(G65="80%",J65="100%"),"Moderado",IF(AND(G65="100%",J65="100%"),"Extremo",""))))))))))))))))))))))))</f>
        <v>Extremo</v>
      </c>
      <c r="L65" s="417">
        <v>1</v>
      </c>
      <c r="M65" s="662" t="s">
        <v>849</v>
      </c>
      <c r="N65" s="652" t="s">
        <v>67</v>
      </c>
      <c r="O65" s="181">
        <f>IF(N65="Asignado",15,IF(N65="NO asignado",0))</f>
        <v>15</v>
      </c>
      <c r="P65" s="653" t="s">
        <v>68</v>
      </c>
      <c r="Q65" s="181">
        <f>IF(P65="Adecuado",15,IF(P65="Inadecuado",0))</f>
        <v>15</v>
      </c>
      <c r="R65" s="653" t="s">
        <v>69</v>
      </c>
      <c r="S65" s="181">
        <f>IF(R65="Oportuna",15,IF(R65="Inoportuna",0))</f>
        <v>15</v>
      </c>
      <c r="T65" s="653" t="s">
        <v>70</v>
      </c>
      <c r="U65" s="181">
        <f>IF(T65="Prevenir",15,IF(T65="Detectar",10,IF(T65="No es un control",0)))</f>
        <v>15</v>
      </c>
      <c r="V65" s="653" t="s">
        <v>71</v>
      </c>
      <c r="W65" s="181">
        <f>IF(V65="Confiable",15,IF(V65="No confiable",0))</f>
        <v>15</v>
      </c>
      <c r="X65" s="653" t="s">
        <v>72</v>
      </c>
      <c r="Y65" s="181">
        <f>IF(X65="Se investigan oportunamente",15,IF(X65="No se investigan oportunamente",0))</f>
        <v>15</v>
      </c>
      <c r="Z65" s="653" t="s">
        <v>90</v>
      </c>
      <c r="AA65" s="181">
        <f>IF(Z65="Completa",10,IF(Z65="Incompleta",5,IF(Z65="No existe",0)))</f>
        <v>10</v>
      </c>
      <c r="AB65" s="654">
        <f>O65+Q65+S65+U65+W65+Y65+AA65</f>
        <v>100</v>
      </c>
      <c r="AC65" s="654" t="str">
        <f>IF(AB65&lt;86,"Débil",(IF(AB65&lt;96,"Moderado","Fuerte")))</f>
        <v>Fuerte</v>
      </c>
      <c r="AD65" s="654" t="s">
        <v>74</v>
      </c>
      <c r="AE65" s="654" t="str">
        <f>IF(OR(AND(AC65="Fuerte",AD65="Moderado"),AND(AC65="Moderado",AD65="Fuerte"),AND(AC65="Moderado",AD65="Moderado")),"Moderado",IF(OR(AND(AC65="Fuerte",AD65="Débil"),AND(AC65="Moderado",AD65="Débil"),AND(AC65="Débil")),"Débil",IF(AND(AC65="Fuerte",AD65="Fuerte"),"Fuerte")))</f>
        <v>Fuerte</v>
      </c>
      <c r="AF65" s="654" t="str">
        <f>IF(AE65="Fuerte","100",IF(AE65="Moderado","50",IF(AE65="Débil","0")))</f>
        <v>100</v>
      </c>
      <c r="AG65" s="655">
        <v>1</v>
      </c>
      <c r="AH65" s="655">
        <f>(AF65+AF66+AF67+AF68+AF69)/AG65</f>
        <v>100</v>
      </c>
      <c r="AI65" s="655" t="str">
        <f>IF(AH65&lt;50,"Débil",IF(AH65&lt;=99,"Moderado",IF(AH65=100,"Fuerte",IF(AH65="","ERROR"))))</f>
        <v>Fuerte</v>
      </c>
      <c r="AJ65" s="655" t="s">
        <v>75</v>
      </c>
      <c r="AK65" s="656">
        <f>IF(AI65="Débil",0,IF(AND(AI65="Moderado",AJ65="Directamente"),20%,IF(AND(AI65="Moderado",AJ65="No disminuye"),0,IF(AND(AI65="Fuerte",AJ65="Directamente"),40%,IF(AND(AI65="Fuerte",AJ65="No disminuye"),0)))))</f>
        <v>0.4</v>
      </c>
      <c r="AL65" s="657">
        <f>G65-AK65</f>
        <v>0</v>
      </c>
      <c r="AM65" s="650" t="str">
        <f>IF(AL65=100%,"Casi Seguro",IF(AL65=80,"Probable",IF(AL65=60%,"Posible",IF(AL65=40%,"Improbable",IF(AL65=20%,"Rara Vez",IF(AL65=0,"Rara Vez",IF(AL65&lt;0,"Rara Vez")))))))</f>
        <v>Rara Vez</v>
      </c>
      <c r="AN65" s="658" t="s">
        <v>96</v>
      </c>
      <c r="AO65" s="655">
        <f>IF(AI65="Débil",0,IF(AND(AI65="Moderado",AN65="Directamente"),1,IF(AND(AI65="Moderado",AN65="Indirectamente"),0,IF(AND(AI65="Moderado",AN65="No disminuye"),0,IF(AND(AI65="Fuerte",AN65="Directamente"),2,IF(AND(AI65="Fuerte",AN65="Indirectamente"),1,IF(AND(AI65="Fuerte",AN65="No disminuye"),0)))))))</f>
        <v>0</v>
      </c>
      <c r="AP65" s="657">
        <f>J65-AO65</f>
        <v>1</v>
      </c>
      <c r="AQ65" s="650" t="str">
        <f>IF(AP65=100%,"Catastrófico",IF(AP65=80%,"Mayor",IF(AP65=60%,"Moderado",IF(AP65&lt;=60%,"Moderado"))))</f>
        <v>Catastrófico</v>
      </c>
      <c r="AR65" s="655" t="str">
        <f>IF(OR(AND(AQ65="Moderado",AM65="Rara Vez"),AND(AQ65="Moderado",AM65="Improbable")),"Moderado",IF(OR(AND(AQ65="Mayor",AM65="Improbable"),AND(AQ65="Mayor",AM65="Rara Vez"),AND(AQ65="Moderado",AM65="Probable"),AND(AQ65="Moderado",AM65="Posible")),"Alto",IF(OR(AND(AQ65="Moderado",AM65="Casi Seguro"),AND(AQ65="Mayor",AM65="Posible"),AND(AQ65="Mayor",AM65="Probable"),AND(AQ65="Mayor",AM65="Casi Seguro")),"Extremo",IF(AQ65="Catastrófico","Extremo"))))</f>
        <v>Extremo</v>
      </c>
      <c r="AS65" s="659" t="s">
        <v>77</v>
      </c>
      <c r="AT65" s="418" t="s">
        <v>850</v>
      </c>
      <c r="AU65" s="419" t="s">
        <v>632</v>
      </c>
      <c r="AV65" s="415" t="s">
        <v>745</v>
      </c>
      <c r="AW65" s="415" t="s">
        <v>745</v>
      </c>
      <c r="AX65" s="415"/>
      <c r="AY65" s="414" t="s">
        <v>81</v>
      </c>
      <c r="AZ65" s="234" t="s">
        <v>587</v>
      </c>
      <c r="BA65" s="420" t="s">
        <v>113</v>
      </c>
    </row>
    <row r="66" spans="1:53" s="86" customFormat="1" ht="24" customHeight="1" x14ac:dyDescent="0.25">
      <c r="A66" s="638"/>
      <c r="B66" s="660"/>
      <c r="C66" s="245"/>
      <c r="D66" s="245"/>
      <c r="E66" s="245"/>
      <c r="F66" s="238"/>
      <c r="G66" s="238"/>
      <c r="H66" s="241"/>
      <c r="I66" s="238"/>
      <c r="J66" s="238"/>
      <c r="K66" s="238"/>
      <c r="L66" s="119">
        <v>2</v>
      </c>
      <c r="M66" s="662"/>
      <c r="N66" s="125"/>
      <c r="O66" s="180" t="b">
        <f t="shared" ref="O66:O69" si="132">IF(N66="Asignado",15,IF(N66="NO asignado",0))</f>
        <v>0</v>
      </c>
      <c r="P66" s="120"/>
      <c r="Q66" s="180" t="b">
        <f t="shared" ref="Q66:Q69" si="133">IF(P66="Adecuado",15,IF(P66="Inadecuado",0))</f>
        <v>0</v>
      </c>
      <c r="R66" s="120"/>
      <c r="S66" s="180" t="b">
        <f t="shared" ref="S66:S69" si="134">IF(R66="Oportuna",15,IF(R66="Inoportuna",0))</f>
        <v>0</v>
      </c>
      <c r="T66" s="120"/>
      <c r="U66" s="180" t="b">
        <f t="shared" ref="U66:U69" si="135">IF(T66="Prevenir",15,IF(T66="Detectar",10,IF(T66="No es un control",0)))</f>
        <v>0</v>
      </c>
      <c r="V66" s="120"/>
      <c r="W66" s="180" t="b">
        <f t="shared" ref="W66:W69" si="136">IF(V66="Confiable",15,IF(V66="No confiable",0))</f>
        <v>0</v>
      </c>
      <c r="X66" s="120"/>
      <c r="Y66" s="180" t="b">
        <f t="shared" ref="Y66:Y69" si="137">IF(X66="Se investigan oportunamente",15,IF(X66="No se investigan oportunamente",0))</f>
        <v>0</v>
      </c>
      <c r="Z66" s="120"/>
      <c r="AA66" s="180" t="b">
        <f t="shared" ref="AA66:AA69" si="138">IF(Z66="Completa",10,IF(Z66="Incompleta",5,IF(Z66="No existe",0)))</f>
        <v>0</v>
      </c>
      <c r="AB66" s="184">
        <f t="shared" ref="AB66:AB69" si="139">O66+Q66+S66+U66+W66+Y66+AA66</f>
        <v>0</v>
      </c>
      <c r="AC66" s="184" t="str">
        <f t="shared" ref="AC66:AC69" si="140">IF(AB66&lt;86,"Débil",(IF(AB66&lt;96,"Moderado","Fuerte")))</f>
        <v>Débil</v>
      </c>
      <c r="AD66" s="184"/>
      <c r="AE66" s="184" t="str">
        <f t="shared" ref="AE66:AE69" si="141">IF(OR(AND(AC66="Fuerte",AD66="Moderado"),AND(AC66="Moderado",AD66="Fuerte"),AND(AC66="Moderado",AD66="Moderado")),"Moderado",IF(OR(AND(AC66="Fuerte",AD66="Débil"),AND(AC66="Moderado",AD66="Débil"),AND(AC66="Débil")),"Débil",IF(AND(AC66="Fuerte",AD66="Fuerte"),"Fuerte")))</f>
        <v>Débil</v>
      </c>
      <c r="AF66" s="184" t="str">
        <f t="shared" ref="AF66:AF69" si="142">IF(AE66="Fuerte","100",IF(AE66="Moderado","50",IF(AE66="Débil","0")))</f>
        <v>0</v>
      </c>
      <c r="AG66" s="240"/>
      <c r="AH66" s="240"/>
      <c r="AI66" s="240"/>
      <c r="AJ66" s="240"/>
      <c r="AK66" s="246"/>
      <c r="AL66" s="237"/>
      <c r="AM66" s="238"/>
      <c r="AN66" s="247"/>
      <c r="AO66" s="240"/>
      <c r="AP66" s="237"/>
      <c r="AQ66" s="238"/>
      <c r="AR66" s="240"/>
      <c r="AS66" s="249"/>
      <c r="AT66" s="122"/>
      <c r="AU66" s="121"/>
      <c r="AV66" s="123"/>
      <c r="AW66" s="123"/>
      <c r="AX66" s="124"/>
      <c r="AY66" s="121"/>
      <c r="AZ66" s="234"/>
      <c r="BA66" s="420"/>
    </row>
    <row r="67" spans="1:53" s="86" customFormat="1" ht="24" customHeight="1" x14ac:dyDescent="0.25">
      <c r="A67" s="638"/>
      <c r="B67" s="660"/>
      <c r="C67" s="245"/>
      <c r="D67" s="245"/>
      <c r="E67" s="245"/>
      <c r="F67" s="238"/>
      <c r="G67" s="238"/>
      <c r="H67" s="241"/>
      <c r="I67" s="238"/>
      <c r="J67" s="238"/>
      <c r="K67" s="238"/>
      <c r="L67" s="119">
        <v>3</v>
      </c>
      <c r="M67" s="662"/>
      <c r="N67" s="125"/>
      <c r="O67" s="180" t="b">
        <f t="shared" si="132"/>
        <v>0</v>
      </c>
      <c r="P67" s="120"/>
      <c r="Q67" s="180" t="b">
        <f t="shared" si="133"/>
        <v>0</v>
      </c>
      <c r="R67" s="120"/>
      <c r="S67" s="180" t="b">
        <f t="shared" si="134"/>
        <v>0</v>
      </c>
      <c r="T67" s="120"/>
      <c r="U67" s="180" t="b">
        <f t="shared" si="135"/>
        <v>0</v>
      </c>
      <c r="V67" s="120"/>
      <c r="W67" s="180" t="b">
        <f t="shared" si="136"/>
        <v>0</v>
      </c>
      <c r="X67" s="120"/>
      <c r="Y67" s="180" t="b">
        <f t="shared" si="137"/>
        <v>0</v>
      </c>
      <c r="Z67" s="120"/>
      <c r="AA67" s="180" t="b">
        <f t="shared" si="138"/>
        <v>0</v>
      </c>
      <c r="AB67" s="184">
        <f t="shared" si="139"/>
        <v>0</v>
      </c>
      <c r="AC67" s="184" t="str">
        <f t="shared" si="140"/>
        <v>Débil</v>
      </c>
      <c r="AD67" s="184"/>
      <c r="AE67" s="184" t="str">
        <f t="shared" si="141"/>
        <v>Débil</v>
      </c>
      <c r="AF67" s="184" t="str">
        <f t="shared" si="142"/>
        <v>0</v>
      </c>
      <c r="AG67" s="240"/>
      <c r="AH67" s="240"/>
      <c r="AI67" s="240"/>
      <c r="AJ67" s="240"/>
      <c r="AK67" s="246"/>
      <c r="AL67" s="237"/>
      <c r="AM67" s="238"/>
      <c r="AN67" s="247"/>
      <c r="AO67" s="240"/>
      <c r="AP67" s="237"/>
      <c r="AQ67" s="238"/>
      <c r="AR67" s="240"/>
      <c r="AS67" s="249"/>
      <c r="AT67" s="122"/>
      <c r="AU67" s="121"/>
      <c r="AV67" s="123"/>
      <c r="AW67" s="123"/>
      <c r="AX67" s="124"/>
      <c r="AY67" s="121"/>
      <c r="AZ67" s="234"/>
      <c r="BA67" s="420"/>
    </row>
    <row r="68" spans="1:53" s="86" customFormat="1" ht="24" customHeight="1" x14ac:dyDescent="0.25">
      <c r="A68" s="638"/>
      <c r="B68" s="660"/>
      <c r="C68" s="245"/>
      <c r="D68" s="245"/>
      <c r="E68" s="245"/>
      <c r="F68" s="238"/>
      <c r="G68" s="238"/>
      <c r="H68" s="241"/>
      <c r="I68" s="238"/>
      <c r="J68" s="238"/>
      <c r="K68" s="238"/>
      <c r="L68" s="119">
        <v>4</v>
      </c>
      <c r="M68" s="133"/>
      <c r="N68" s="125"/>
      <c r="O68" s="180" t="b">
        <f t="shared" si="132"/>
        <v>0</v>
      </c>
      <c r="P68" s="120"/>
      <c r="Q68" s="180" t="b">
        <f t="shared" si="133"/>
        <v>0</v>
      </c>
      <c r="R68" s="120"/>
      <c r="S68" s="180" t="b">
        <f t="shared" si="134"/>
        <v>0</v>
      </c>
      <c r="T68" s="120"/>
      <c r="U68" s="180" t="b">
        <f t="shared" si="135"/>
        <v>0</v>
      </c>
      <c r="V68" s="120"/>
      <c r="W68" s="180" t="b">
        <f t="shared" si="136"/>
        <v>0</v>
      </c>
      <c r="X68" s="120"/>
      <c r="Y68" s="180" t="b">
        <f t="shared" si="137"/>
        <v>0</v>
      </c>
      <c r="Z68" s="120"/>
      <c r="AA68" s="180" t="b">
        <f t="shared" si="138"/>
        <v>0</v>
      </c>
      <c r="AB68" s="184">
        <f t="shared" si="139"/>
        <v>0</v>
      </c>
      <c r="AC68" s="184" t="str">
        <f t="shared" si="140"/>
        <v>Débil</v>
      </c>
      <c r="AD68" s="184"/>
      <c r="AE68" s="184" t="str">
        <f t="shared" si="141"/>
        <v>Débil</v>
      </c>
      <c r="AF68" s="184" t="str">
        <f t="shared" si="142"/>
        <v>0</v>
      </c>
      <c r="AG68" s="240"/>
      <c r="AH68" s="240"/>
      <c r="AI68" s="240"/>
      <c r="AJ68" s="240"/>
      <c r="AK68" s="246"/>
      <c r="AL68" s="237"/>
      <c r="AM68" s="238"/>
      <c r="AN68" s="247"/>
      <c r="AO68" s="240"/>
      <c r="AP68" s="237"/>
      <c r="AQ68" s="238"/>
      <c r="AR68" s="240"/>
      <c r="AS68" s="249"/>
      <c r="AT68" s="122"/>
      <c r="AU68" s="121"/>
      <c r="AV68" s="123"/>
      <c r="AW68" s="123"/>
      <c r="AX68" s="124"/>
      <c r="AY68" s="121"/>
      <c r="AZ68" s="234"/>
      <c r="BA68" s="420"/>
    </row>
    <row r="69" spans="1:53" s="86" customFormat="1" ht="24" customHeight="1" x14ac:dyDescent="0.25">
      <c r="A69" s="638"/>
      <c r="B69" s="649"/>
      <c r="C69" s="245"/>
      <c r="D69" s="245"/>
      <c r="E69" s="245"/>
      <c r="F69" s="238"/>
      <c r="G69" s="238"/>
      <c r="H69" s="241"/>
      <c r="I69" s="238"/>
      <c r="J69" s="238"/>
      <c r="K69" s="238"/>
      <c r="L69" s="119">
        <v>5</v>
      </c>
      <c r="M69" s="133"/>
      <c r="N69" s="125"/>
      <c r="O69" s="180" t="b">
        <f t="shared" si="132"/>
        <v>0</v>
      </c>
      <c r="P69" s="120"/>
      <c r="Q69" s="180" t="b">
        <f t="shared" si="133"/>
        <v>0</v>
      </c>
      <c r="R69" s="120"/>
      <c r="S69" s="180" t="b">
        <f t="shared" si="134"/>
        <v>0</v>
      </c>
      <c r="T69" s="120"/>
      <c r="U69" s="180" t="b">
        <f t="shared" si="135"/>
        <v>0</v>
      </c>
      <c r="V69" s="120"/>
      <c r="W69" s="180" t="b">
        <f t="shared" si="136"/>
        <v>0</v>
      </c>
      <c r="X69" s="120"/>
      <c r="Y69" s="180" t="b">
        <f t="shared" si="137"/>
        <v>0</v>
      </c>
      <c r="Z69" s="120"/>
      <c r="AA69" s="180" t="b">
        <f t="shared" si="138"/>
        <v>0</v>
      </c>
      <c r="AB69" s="184">
        <f t="shared" si="139"/>
        <v>0</v>
      </c>
      <c r="AC69" s="184" t="str">
        <f t="shared" si="140"/>
        <v>Débil</v>
      </c>
      <c r="AD69" s="184"/>
      <c r="AE69" s="184" t="str">
        <f t="shared" si="141"/>
        <v>Débil</v>
      </c>
      <c r="AF69" s="184" t="str">
        <f t="shared" si="142"/>
        <v>0</v>
      </c>
      <c r="AG69" s="240"/>
      <c r="AH69" s="240"/>
      <c r="AI69" s="240"/>
      <c r="AJ69" s="240"/>
      <c r="AK69" s="246"/>
      <c r="AL69" s="237"/>
      <c r="AM69" s="238"/>
      <c r="AN69" s="247"/>
      <c r="AO69" s="240"/>
      <c r="AP69" s="237"/>
      <c r="AQ69" s="238"/>
      <c r="AR69" s="240"/>
      <c r="AS69" s="249"/>
      <c r="AT69" s="122"/>
      <c r="AU69" s="121"/>
      <c r="AV69" s="123"/>
      <c r="AW69" s="123"/>
      <c r="AX69" s="124"/>
      <c r="AY69" s="121"/>
      <c r="AZ69" s="234"/>
      <c r="BA69" s="420"/>
    </row>
    <row r="70" spans="1:53" s="86" customFormat="1" ht="24" customHeight="1" x14ac:dyDescent="0.2">
      <c r="A70" s="244" t="s">
        <v>665</v>
      </c>
      <c r="B70" s="227" t="s">
        <v>633</v>
      </c>
      <c r="C70" s="227" t="s">
        <v>666</v>
      </c>
      <c r="D70" s="227" t="s">
        <v>667</v>
      </c>
      <c r="E70" s="227" t="s">
        <v>89</v>
      </c>
      <c r="F70" s="229" t="str">
        <f>IF(AND(E70=[8]calificación_impacto_corrupción!$B$2),[8]calificación_impacto_corrupción!$A$2,IF(AND(E70=[8]calificación_impacto_corrupción!$B$3),[8]calificación_impacto_corrupción!$A$3,IF(AND(E70=[8]calificación_impacto_corrupción!$B$4),[8]calificación_impacto_corrupción!$A$4,IF(AND(E70=[8]calificación_impacto_corrupción!$B$5),[8]calificación_impacto_corrupción!$A$5,IF(AND(E70=[8]calificación_impacto_corrupción!$B$6),[8]calificación_impacto_corrupción!$A$6,FALSE)))))</f>
        <v>Posible</v>
      </c>
      <c r="G70" s="229" t="str">
        <f>IF(AND(E70=[8]calificación_impacto_corrupción!$B$6),"20%",IF(AND(E70=[8]calificación_impacto_corrupción!$B$5),"40%",IF(AND(E70=[8]calificación_impacto_corrupción!$B$4),"60%",IF(AND(E70=[8]calificación_impacto_corrupción!$B$3),"80%",IF(AND(E70=[8]calificación_impacto_corrupción!$B$2),"100%",FALSE)))))</f>
        <v>60%</v>
      </c>
      <c r="H70" s="228" t="s">
        <v>65</v>
      </c>
      <c r="I70" s="229" t="str">
        <f>IF(AND(H70=[13]DESPLEGABLES!$A$19),"Leve",IF(AND(H70=[13]DESPLEGABLES!$A$20),"Menor",IF(AND(H70=[13]DESPLEGABLES!$A$21),"Moderado",IF(AND(H70=[13]DESPLEGABLES!$A$22),"Mayor",IF(AND(H70=[13]DESPLEGABLES!$A$23),"Catastrófico",IF(AND(H70=[13]DESPLEGABLES!$A$25),"Leve",IF(AND(H70=[13]DESPLEGABLES!$A$26),"Menor",IF(AND(H70=[13]DESPLEGABLES!$A$27),"Moderado",IF(AND(H70=[13]DESPLEGABLES!$A$28),"Mayor",IF(AND(H70=[13]DESPLEGABLES!$A$29),"Catastrófico",IF(AND(H70=[13]DESPLEGABLES!$A$31),"Moderado",IF(AND(H70=[13]DESPLEGABLES!$A$32),"Mayor",IF(AND(H70=[13]DESPLEGABLES!$A$33),"Catastrófico","")))))))))))))</f>
        <v>Catastrófico</v>
      </c>
      <c r="J70" s="229" t="str">
        <f>IF(AND(I70="Leve"),"20%",IF(AND(I70="Menor"),"40%",IF(AND(I70="Moderado"),"60%",IF(AND(I70="Mayor"),"80%",IF(AND(I70="Catastrófico"),"100%","")))))</f>
        <v>100%</v>
      </c>
      <c r="K70" s="229" t="str">
        <f>IF(AND(G70&lt;="40%",J70="20%"),"Bajo",IF(AND(G70="60%",J70="20%"),"Moderado",IF(AND(G70="80%",J70="20%"),"Moderado",IF(AND(G70="100%",J70="20%"),"Alto",IF(AND(G70="20%",J70="40%"),"Bajo",IF(AND(G70="40%",J70="40%"),"Moderado",IF(AND(G70="60%",J70="40%"),"Moderado",IF(AND(G70="80%",J70="40%"),"Moderado",IF(AND(G70="100%",J70="40%"),"Alto",IF(AND(G70="20%",J70="60%"),"Moderado",IF(AND(G70="40%",J70="60%"),"Moderado",IF(AND(G70="60%",J70="60%"),"Moderado",IF(AND(G70="80%",J70="60%"),"Alto",IF(AND(G70="100%",J70="60%"),"Alto",IF(AND(G70="20%",J70="80%"),"Alto",IF(AND(G70="40%",J70="80%"),"Alto",IF(AND(G70="60%",J70="80%"),"Alto",IF(AND(G70="80%",J70="80%"),"Alto",IF(AND(G70="100%",J70="80%"),"Alto",IF(AND(G70="20%",J70="100%"),"Extremo",IF(AND(G70="40%",J70="100%"),"Extremo",IF(AND(G70="60%",J70="100%"),"Extremo",IF(AND(G70="80%",J70="100%"),"Moderado",IF(AND(G70="100%",J70="100%"),"Extremo",""))))))))))))))))))))))))</f>
        <v>Extremo</v>
      </c>
      <c r="L70" s="187">
        <v>1</v>
      </c>
      <c r="M70" s="661" t="s">
        <v>859</v>
      </c>
      <c r="N70" s="115" t="s">
        <v>67</v>
      </c>
      <c r="O70" s="175">
        <f>IF(N70="Asignado",15,IF(N70="NO asignado",0))</f>
        <v>15</v>
      </c>
      <c r="P70" s="116" t="s">
        <v>68</v>
      </c>
      <c r="Q70" s="175">
        <f>IF(P70="Adecuado",15,IF(P70="Inadecuado",0))</f>
        <v>15</v>
      </c>
      <c r="R70" s="116" t="s">
        <v>69</v>
      </c>
      <c r="S70" s="175">
        <f>IF(R70="Oportuna",15,IF(R70="Inoportuna",0))</f>
        <v>15</v>
      </c>
      <c r="T70" s="116" t="s">
        <v>70</v>
      </c>
      <c r="U70" s="175">
        <f>IF(T70="Prevenir",15,IF(T70="Detectar",10,IF(T70="No es un control",0)))</f>
        <v>15</v>
      </c>
      <c r="V70" s="116" t="s">
        <v>71</v>
      </c>
      <c r="W70" s="175">
        <f>IF(V70="Confiable",15,IF(V70="No confiable",0))</f>
        <v>15</v>
      </c>
      <c r="X70" s="116" t="s">
        <v>72</v>
      </c>
      <c r="Y70" s="175">
        <f>IF(X70="Se investigan oportunamente",15,IF(X70="No se investigan oportunamente",0))</f>
        <v>15</v>
      </c>
      <c r="Z70" s="116" t="s">
        <v>90</v>
      </c>
      <c r="AA70" s="175">
        <f>IF(Z70="Completa",10,IF(Z70="Incompleta",5,IF(Z70="No existe",0)))</f>
        <v>10</v>
      </c>
      <c r="AB70" s="185">
        <f>O70+Q70+S70+U70+W70+Y70+AA70</f>
        <v>100</v>
      </c>
      <c r="AC70" s="185" t="str">
        <f>IF(AB70&lt;86,"Débil",(IF(AB70&lt;96,"Moderado","Fuerte")))</f>
        <v>Fuerte</v>
      </c>
      <c r="AD70" s="185" t="s">
        <v>74</v>
      </c>
      <c r="AE70" s="185" t="str">
        <f>IF(OR(AND(AC70="Fuerte",AD70="Moderado"),AND(AC70="Moderado",AD70="Fuerte"),AND(AC70="Moderado",AD70="Moderado")),"Moderado",IF(OR(AND(AC70="Fuerte",AD70="Débil"),AND(AC70="Moderado",AD70="Débil"),AND(AC70="Débil")),"Débil",IF(AND(AC70="Fuerte",AD70="Fuerte"),"Fuerte")))</f>
        <v>Fuerte</v>
      </c>
      <c r="AF70" s="185" t="str">
        <f>IF(AE70="Fuerte","100",IF(AE70="Moderado","50",IF(AE70="Débil","0")))</f>
        <v>100</v>
      </c>
      <c r="AG70" s="232">
        <v>1</v>
      </c>
      <c r="AH70" s="232">
        <f>(AF70+AF71+AF72+AF73+AF74)/AG70</f>
        <v>100</v>
      </c>
      <c r="AI70" s="232" t="str">
        <f>IF(AH70&lt;50,"Débil",IF(AH70&lt;=99,"Moderado",IF(AH70=100,"Fuerte",IF(AH70="","ERROR"))))</f>
        <v>Fuerte</v>
      </c>
      <c r="AJ70" s="232" t="s">
        <v>75</v>
      </c>
      <c r="AK70" s="239">
        <f>IF(AI70="Débil",0,IF(AND(AI70="Moderado",AJ70="Directamente"),20%,IF(AND(AI70="Moderado",AJ70="No disminuye"),0,IF(AND(AI70="Fuerte",AJ70="Directamente"),40%,IF(AND(AI70="Fuerte",AJ70="No disminuye"),0)))))</f>
        <v>0.4</v>
      </c>
      <c r="AL70" s="230">
        <f>G70-AK70</f>
        <v>0.19999999999999996</v>
      </c>
      <c r="AM70" s="229" t="str">
        <f>IF(AL70=100%,"Casi Seguro",IF(AL70=80,"Probable",IF(AL70=60%,"Posible",IF(AL70=40%,"Improbable",IF(AL70=20%,"Rara Vez",IF(AL70=0,"Rara Vez",IF(AL70&lt;0,"Rara Vez")))))))</f>
        <v>Rara Vez</v>
      </c>
      <c r="AN70" s="243" t="s">
        <v>76</v>
      </c>
      <c r="AO70" s="242">
        <f>IF(AI70="Débil",0,IF(AND(AI70="Moderado",AN70="Directamente"),20%,IF(AND(AI70="Moderado",AN70="Indirectamente"),0,IF(AND(AI70="Moderado",AN70="No disminuye"),0,IF(AND(AI70="Fuerte",AN70="Directamente"),40%,IF(AND(AI70="Fuerte",AN70="Indirectamente"),20%,IF(AND(AI70="Fuerte",AN70="No disminuye"),0)))))))</f>
        <v>0.2</v>
      </c>
      <c r="AP70" s="230">
        <f>J70-AO70</f>
        <v>0.8</v>
      </c>
      <c r="AQ70" s="229" t="str">
        <f>IF(AP70=100%,"Catastrófico",IF(AP70=80%,"Mayor",IF(AP70=60%,"Moderado",IF(AP70&lt;=60%,"Moderado"))))</f>
        <v>Mayor</v>
      </c>
      <c r="AR70" s="232" t="str">
        <f>IF(OR(AND(AQ70="Moderado",AM70="Rara Vez"),AND(AQ70="Moderado",AM70="Improbable")),"Moderado",IF(OR(AND(AQ70="Mayor",AM70="Improbable"),AND(AQ70="Mayor",AM70="Rara Vez"),AND(AQ70="Moderado",AM70="Probable"),AND(AQ70="Moderado",AM70="Posible")),"Alto",IF(OR(AND(AQ70="Moderado",AM70="Casi Seguro"),AND(AQ70="Mayor",AM70="Posible"),AND(AQ70="Mayor",AM70="Probable"),AND(AQ70="Mayor",AM70="Casi Seguro")),"Extremo",IF(AQ70="Catastrófico","Extremo"))))</f>
        <v>Alto</v>
      </c>
      <c r="AS70" s="248" t="s">
        <v>77</v>
      </c>
      <c r="AT70" s="186"/>
      <c r="AU70" s="186"/>
      <c r="AV70" s="117"/>
      <c r="AW70" s="117"/>
      <c r="AX70" s="118"/>
      <c r="AY70" s="187"/>
      <c r="AZ70" s="227" t="s">
        <v>668</v>
      </c>
      <c r="BA70" s="227" t="s">
        <v>93</v>
      </c>
    </row>
    <row r="71" spans="1:53" s="86" customFormat="1" ht="24" customHeight="1" x14ac:dyDescent="0.25">
      <c r="A71" s="244"/>
      <c r="B71" s="227"/>
      <c r="C71" s="227"/>
      <c r="D71" s="227"/>
      <c r="E71" s="227"/>
      <c r="F71" s="229"/>
      <c r="G71" s="229"/>
      <c r="H71" s="228"/>
      <c r="I71" s="229"/>
      <c r="J71" s="229"/>
      <c r="K71" s="229"/>
      <c r="L71" s="187">
        <v>2</v>
      </c>
      <c r="M71" s="661"/>
      <c r="N71" s="115"/>
      <c r="O71" s="175" t="b">
        <f t="shared" ref="O71:O74" si="143">IF(N71="Asignado",15,IF(N71="NO asignado",0))</f>
        <v>0</v>
      </c>
      <c r="P71" s="116"/>
      <c r="Q71" s="175" t="b">
        <f t="shared" ref="Q71:Q74" si="144">IF(P71="Adecuado",15,IF(P71="Inadecuado",0))</f>
        <v>0</v>
      </c>
      <c r="R71" s="116"/>
      <c r="S71" s="175" t="b">
        <f t="shared" ref="S71:S74" si="145">IF(R71="Oportuna",15,IF(R71="Inoportuna",0))</f>
        <v>0</v>
      </c>
      <c r="T71" s="116"/>
      <c r="U71" s="175" t="b">
        <f t="shared" ref="U71:U74" si="146">IF(T71="Prevenir",15,IF(T71="Detectar",10,IF(T71="No es un control",0)))</f>
        <v>0</v>
      </c>
      <c r="V71" s="116"/>
      <c r="W71" s="175" t="b">
        <f t="shared" ref="W71:W74" si="147">IF(V71="Confiable",15,IF(V71="No confiable",0))</f>
        <v>0</v>
      </c>
      <c r="X71" s="116"/>
      <c r="Y71" s="175" t="b">
        <f t="shared" ref="Y71:Y74" si="148">IF(X71="Se investigan oportunamente",15,IF(X71="No se investigan oportunamente",0))</f>
        <v>0</v>
      </c>
      <c r="Z71" s="116"/>
      <c r="AA71" s="175" t="b">
        <f t="shared" ref="AA71:AA74" si="149">IF(Z71="Completa",10,IF(Z71="Incompleta",5,IF(Z71="No existe",0)))</f>
        <v>0</v>
      </c>
      <c r="AB71" s="185">
        <f t="shared" ref="AB71:AB74" si="150">O71+Q71+S71+U71+W71+Y71+AA71</f>
        <v>0</v>
      </c>
      <c r="AC71" s="185" t="str">
        <f t="shared" ref="AC71:AC74" si="151">IF(AB71&lt;86,"Débil",(IF(AB71&lt;96,"Moderado","Fuerte")))</f>
        <v>Débil</v>
      </c>
      <c r="AD71" s="185"/>
      <c r="AE71" s="185" t="str">
        <f t="shared" ref="AE71:AE74" si="152">IF(OR(AND(AC71="Fuerte",AD71="Moderado"),AND(AC71="Moderado",AD71="Fuerte"),AND(AC71="Moderado",AD71="Moderado")),"Moderado",IF(OR(AND(AC71="Fuerte",AD71="Débil"),AND(AC71="Moderado",AD71="Débil"),AND(AC71="Débil")),"Débil",IF(AND(AC71="Fuerte",AD71="Fuerte"),"Fuerte")))</f>
        <v>Débil</v>
      </c>
      <c r="AF71" s="185" t="str">
        <f t="shared" ref="AF71:AF74" si="153">IF(AE71="Fuerte","100",IF(AE71="Moderado","50",IF(AE71="Débil","0")))</f>
        <v>0</v>
      </c>
      <c r="AG71" s="232"/>
      <c r="AH71" s="232"/>
      <c r="AI71" s="232"/>
      <c r="AJ71" s="232"/>
      <c r="AK71" s="239"/>
      <c r="AL71" s="231"/>
      <c r="AM71" s="229"/>
      <c r="AN71" s="243"/>
      <c r="AO71" s="242"/>
      <c r="AP71" s="231"/>
      <c r="AQ71" s="229"/>
      <c r="AR71" s="232"/>
      <c r="AS71" s="248"/>
      <c r="AT71" s="186"/>
      <c r="AU71" s="187"/>
      <c r="AV71" s="117"/>
      <c r="AW71" s="117"/>
      <c r="AX71" s="186"/>
      <c r="AY71" s="187"/>
      <c r="AZ71" s="227"/>
      <c r="BA71" s="227"/>
    </row>
    <row r="72" spans="1:53" s="86" customFormat="1" ht="24" customHeight="1" x14ac:dyDescent="0.25">
      <c r="A72" s="244"/>
      <c r="B72" s="227"/>
      <c r="C72" s="227"/>
      <c r="D72" s="227"/>
      <c r="E72" s="227"/>
      <c r="F72" s="229"/>
      <c r="G72" s="229"/>
      <c r="H72" s="228"/>
      <c r="I72" s="229"/>
      <c r="J72" s="229"/>
      <c r="K72" s="229"/>
      <c r="L72" s="187">
        <v>3</v>
      </c>
      <c r="M72" s="134"/>
      <c r="N72" s="115"/>
      <c r="O72" s="175" t="b">
        <f t="shared" si="143"/>
        <v>0</v>
      </c>
      <c r="P72" s="116"/>
      <c r="Q72" s="175" t="b">
        <f t="shared" si="144"/>
        <v>0</v>
      </c>
      <c r="R72" s="116"/>
      <c r="S72" s="175" t="b">
        <f t="shared" si="145"/>
        <v>0</v>
      </c>
      <c r="T72" s="116"/>
      <c r="U72" s="175" t="b">
        <f t="shared" si="146"/>
        <v>0</v>
      </c>
      <c r="V72" s="116"/>
      <c r="W72" s="175" t="b">
        <f t="shared" si="147"/>
        <v>0</v>
      </c>
      <c r="X72" s="116"/>
      <c r="Y72" s="175" t="b">
        <f t="shared" si="148"/>
        <v>0</v>
      </c>
      <c r="Z72" s="116"/>
      <c r="AA72" s="175" t="b">
        <f t="shared" si="149"/>
        <v>0</v>
      </c>
      <c r="AB72" s="185">
        <f t="shared" si="150"/>
        <v>0</v>
      </c>
      <c r="AC72" s="185" t="str">
        <f t="shared" si="151"/>
        <v>Débil</v>
      </c>
      <c r="AD72" s="185"/>
      <c r="AE72" s="185" t="str">
        <f t="shared" si="152"/>
        <v>Débil</v>
      </c>
      <c r="AF72" s="185" t="str">
        <f t="shared" si="153"/>
        <v>0</v>
      </c>
      <c r="AG72" s="232"/>
      <c r="AH72" s="232"/>
      <c r="AI72" s="232"/>
      <c r="AJ72" s="232"/>
      <c r="AK72" s="239"/>
      <c r="AL72" s="231"/>
      <c r="AM72" s="229"/>
      <c r="AN72" s="243"/>
      <c r="AO72" s="242"/>
      <c r="AP72" s="231"/>
      <c r="AQ72" s="229"/>
      <c r="AR72" s="232"/>
      <c r="AS72" s="248"/>
      <c r="AT72" s="186"/>
      <c r="AU72" s="187"/>
      <c r="AV72" s="117"/>
      <c r="AW72" s="117"/>
      <c r="AX72" s="186"/>
      <c r="AY72" s="187"/>
      <c r="AZ72" s="227"/>
      <c r="BA72" s="227"/>
    </row>
    <row r="73" spans="1:53" s="86" customFormat="1" ht="24" customHeight="1" x14ac:dyDescent="0.25">
      <c r="A73" s="244"/>
      <c r="B73" s="227"/>
      <c r="C73" s="227"/>
      <c r="D73" s="227"/>
      <c r="E73" s="227"/>
      <c r="F73" s="229"/>
      <c r="G73" s="229"/>
      <c r="H73" s="228"/>
      <c r="I73" s="229"/>
      <c r="J73" s="229"/>
      <c r="K73" s="229"/>
      <c r="L73" s="187">
        <v>4</v>
      </c>
      <c r="M73" s="134"/>
      <c r="N73" s="115"/>
      <c r="O73" s="175" t="b">
        <f t="shared" si="143"/>
        <v>0</v>
      </c>
      <c r="P73" s="116"/>
      <c r="Q73" s="175" t="b">
        <f t="shared" si="144"/>
        <v>0</v>
      </c>
      <c r="R73" s="116"/>
      <c r="S73" s="175" t="b">
        <f t="shared" si="145"/>
        <v>0</v>
      </c>
      <c r="T73" s="116"/>
      <c r="U73" s="175" t="b">
        <f t="shared" si="146"/>
        <v>0</v>
      </c>
      <c r="V73" s="116"/>
      <c r="W73" s="175" t="b">
        <f t="shared" si="147"/>
        <v>0</v>
      </c>
      <c r="X73" s="116"/>
      <c r="Y73" s="175" t="b">
        <f t="shared" si="148"/>
        <v>0</v>
      </c>
      <c r="Z73" s="116"/>
      <c r="AA73" s="175" t="b">
        <f t="shared" si="149"/>
        <v>0</v>
      </c>
      <c r="AB73" s="185">
        <f t="shared" si="150"/>
        <v>0</v>
      </c>
      <c r="AC73" s="185" t="str">
        <f t="shared" si="151"/>
        <v>Débil</v>
      </c>
      <c r="AD73" s="185"/>
      <c r="AE73" s="185" t="str">
        <f t="shared" si="152"/>
        <v>Débil</v>
      </c>
      <c r="AF73" s="185" t="str">
        <f t="shared" si="153"/>
        <v>0</v>
      </c>
      <c r="AG73" s="232"/>
      <c r="AH73" s="232"/>
      <c r="AI73" s="232"/>
      <c r="AJ73" s="232"/>
      <c r="AK73" s="239"/>
      <c r="AL73" s="231"/>
      <c r="AM73" s="229"/>
      <c r="AN73" s="243"/>
      <c r="AO73" s="242"/>
      <c r="AP73" s="231"/>
      <c r="AQ73" s="229"/>
      <c r="AR73" s="232"/>
      <c r="AS73" s="248"/>
      <c r="AT73" s="186"/>
      <c r="AU73" s="187"/>
      <c r="AV73" s="117"/>
      <c r="AW73" s="117"/>
      <c r="AX73" s="186"/>
      <c r="AY73" s="187"/>
      <c r="AZ73" s="227"/>
      <c r="BA73" s="227"/>
    </row>
    <row r="74" spans="1:53" s="86" customFormat="1" ht="24" customHeight="1" x14ac:dyDescent="0.25">
      <c r="A74" s="244"/>
      <c r="B74" s="227"/>
      <c r="C74" s="227"/>
      <c r="D74" s="227"/>
      <c r="E74" s="227"/>
      <c r="F74" s="229"/>
      <c r="G74" s="229"/>
      <c r="H74" s="228"/>
      <c r="I74" s="229"/>
      <c r="J74" s="229"/>
      <c r="K74" s="229"/>
      <c r="L74" s="187">
        <v>5</v>
      </c>
      <c r="M74" s="134"/>
      <c r="N74" s="115"/>
      <c r="O74" s="175" t="b">
        <f t="shared" si="143"/>
        <v>0</v>
      </c>
      <c r="P74" s="116"/>
      <c r="Q74" s="175" t="b">
        <f t="shared" si="144"/>
        <v>0</v>
      </c>
      <c r="R74" s="116"/>
      <c r="S74" s="175" t="b">
        <f t="shared" si="145"/>
        <v>0</v>
      </c>
      <c r="T74" s="116"/>
      <c r="U74" s="175" t="b">
        <f t="shared" si="146"/>
        <v>0</v>
      </c>
      <c r="V74" s="116"/>
      <c r="W74" s="175" t="b">
        <f t="shared" si="147"/>
        <v>0</v>
      </c>
      <c r="X74" s="116"/>
      <c r="Y74" s="175" t="b">
        <f t="shared" si="148"/>
        <v>0</v>
      </c>
      <c r="Z74" s="116"/>
      <c r="AA74" s="175" t="b">
        <f t="shared" si="149"/>
        <v>0</v>
      </c>
      <c r="AB74" s="185">
        <f t="shared" si="150"/>
        <v>0</v>
      </c>
      <c r="AC74" s="185" t="str">
        <f t="shared" si="151"/>
        <v>Débil</v>
      </c>
      <c r="AD74" s="185"/>
      <c r="AE74" s="185" t="str">
        <f t="shared" si="152"/>
        <v>Débil</v>
      </c>
      <c r="AF74" s="185" t="str">
        <f t="shared" si="153"/>
        <v>0</v>
      </c>
      <c r="AG74" s="232"/>
      <c r="AH74" s="232"/>
      <c r="AI74" s="232"/>
      <c r="AJ74" s="232"/>
      <c r="AK74" s="239"/>
      <c r="AL74" s="231"/>
      <c r="AM74" s="229"/>
      <c r="AN74" s="243"/>
      <c r="AO74" s="242"/>
      <c r="AP74" s="231"/>
      <c r="AQ74" s="229"/>
      <c r="AR74" s="232"/>
      <c r="AS74" s="248"/>
      <c r="AT74" s="186"/>
      <c r="AU74" s="187"/>
      <c r="AV74" s="117"/>
      <c r="AW74" s="117"/>
      <c r="AX74" s="186"/>
      <c r="AY74" s="187"/>
      <c r="AZ74" s="227"/>
      <c r="BA74" s="227"/>
    </row>
    <row r="75" spans="1:53" s="86" customFormat="1" ht="24" customHeight="1" x14ac:dyDescent="0.2">
      <c r="A75" s="244" t="s">
        <v>681</v>
      </c>
      <c r="B75" s="227" t="s">
        <v>727</v>
      </c>
      <c r="C75" s="227" t="s">
        <v>682</v>
      </c>
      <c r="D75" s="227" t="s">
        <v>683</v>
      </c>
      <c r="E75" s="227" t="s">
        <v>94</v>
      </c>
      <c r="F75" s="229" t="str">
        <f>IF(AND(E75=[9]calificación_impacto_corrupción!$B$2),[9]calificación_impacto_corrupción!$A$2,IF(AND(E75=[9]calificación_impacto_corrupción!$B$3),[9]calificación_impacto_corrupción!$A$3,IF(AND(E75=[9]calificación_impacto_corrupción!$B$4),[9]calificación_impacto_corrupción!$A$4,IF(AND(E75=[9]calificación_impacto_corrupción!$B$5),[9]calificación_impacto_corrupción!$A$5,IF(AND(E75=[9]calificación_impacto_corrupción!$B$6),[9]calificación_impacto_corrupción!$A$6,FALSE)))))</f>
        <v>Improbable</v>
      </c>
      <c r="G75" s="229" t="str">
        <f>IF(AND(E75=[9]calificación_impacto_corrupción!$B$6),"20%",IF(AND(E75=[9]calificación_impacto_corrupción!$B$5),"40%",IF(AND(E75=[9]calificación_impacto_corrupción!$B$4),"60%",IF(AND(E75=[9]calificación_impacto_corrupción!$B$3),"80%",IF(AND(E75=[9]calificación_impacto_corrupción!$B$2),"100%",FALSE)))))</f>
        <v>40%</v>
      </c>
      <c r="H75" s="228" t="s">
        <v>65</v>
      </c>
      <c r="I75" s="229" t="str">
        <f>IF(AND(H75=[13]DESPLEGABLES!$A$19),"Leve",IF(AND(H75=[13]DESPLEGABLES!$A$20),"Menor",IF(AND(H75=[13]DESPLEGABLES!$A$21),"Moderado",IF(AND(H75=[13]DESPLEGABLES!$A$22),"Mayor",IF(AND(H75=[13]DESPLEGABLES!$A$23),"Catastrófico",IF(AND(H75=[13]DESPLEGABLES!$A$25),"Leve",IF(AND(H75=[13]DESPLEGABLES!$A$26),"Menor",IF(AND(H75=[13]DESPLEGABLES!$A$27),"Moderado",IF(AND(H75=[13]DESPLEGABLES!$A$28),"Mayor",IF(AND(H75=[13]DESPLEGABLES!$A$29),"Catastrófico",IF(AND(H75=[13]DESPLEGABLES!$A$31),"Moderado",IF(AND(H75=[13]DESPLEGABLES!$A$32),"Mayor",IF(AND(H75=[13]DESPLEGABLES!$A$33),"Catastrófico","")))))))))))))</f>
        <v>Catastrófico</v>
      </c>
      <c r="J75" s="229" t="str">
        <f>IF(AND(I75="Leve"),"20%",IF(AND(I75="Menor"),"40%",IF(AND(I75="Moderado"),"60%",IF(AND(I75="Mayor"),"80%",IF(AND(I75="Catastrófico"),"100%","")))))</f>
        <v>100%</v>
      </c>
      <c r="K75" s="229" t="str">
        <f>IF(AND(G75&lt;="40%",J75="20%"),"Bajo",IF(AND(G75="60%",J75="20%"),"Moderado",IF(AND(G75="80%",J75="20%"),"Moderado",IF(AND(G75="100%",J75="20%"),"Alto",IF(AND(G75="20%",J75="40%"),"Bajo",IF(AND(G75="40%",J75="40%"),"Moderado",IF(AND(G75="60%",J75="40%"),"Moderado",IF(AND(G75="80%",J75="40%"),"Moderado",IF(AND(G75="100%",J75="40%"),"Alto",IF(AND(G75="20%",J75="60%"),"Moderado",IF(AND(G75="40%",J75="60%"),"Moderado",IF(AND(G75="60%",J75="60%"),"Moderado",IF(AND(G75="80%",J75="60%"),"Alto",IF(AND(G75="100%",J75="60%"),"Alto",IF(AND(G75="20%",J75="80%"),"Alto",IF(AND(G75="40%",J75="80%"),"Alto",IF(AND(G75="60%",J75="80%"),"Alto",IF(AND(G75="80%",J75="80%"),"Alto",IF(AND(G75="100%",J75="80%"),"Alto",IF(AND(G75="20%",J75="100%"),"Extremo",IF(AND(G75="40%",J75="100%"),"Extremo",IF(AND(G75="60%",J75="100%"),"Extremo",IF(AND(G75="80%",J75="100%"),"Moderado",IF(AND(G75="100%",J75="100%"),"Extremo",""))))))))))))))))))))))))</f>
        <v>Extremo</v>
      </c>
      <c r="L75" s="187">
        <v>1</v>
      </c>
      <c r="M75" s="145" t="s">
        <v>684</v>
      </c>
      <c r="N75" s="115" t="s">
        <v>67</v>
      </c>
      <c r="O75" s="175">
        <f>IF(N75="Asignado",15,IF(N75="NO asignado",0))</f>
        <v>15</v>
      </c>
      <c r="P75" s="116" t="s">
        <v>68</v>
      </c>
      <c r="Q75" s="175">
        <f>IF(P75="Adecuado",15,IF(P75="Inadecuado",0))</f>
        <v>15</v>
      </c>
      <c r="R75" s="116" t="s">
        <v>69</v>
      </c>
      <c r="S75" s="175">
        <f>IF(R75="Oportuna",15,IF(R75="Inoportuna",0))</f>
        <v>15</v>
      </c>
      <c r="T75" s="116" t="s">
        <v>70</v>
      </c>
      <c r="U75" s="175">
        <f>IF(T75="Prevenir",15,IF(T75="Detectar",10,IF(T75="No es un control",0)))</f>
        <v>15</v>
      </c>
      <c r="V75" s="116" t="s">
        <v>71</v>
      </c>
      <c r="W75" s="175">
        <f>IF(V75="Confiable",15,IF(V75="No confiable",0))</f>
        <v>15</v>
      </c>
      <c r="X75" s="116" t="s">
        <v>72</v>
      </c>
      <c r="Y75" s="175">
        <f>IF(X75="Se investigan oportunamente",15,IF(X75="No se investigan oportunamente",0))</f>
        <v>15</v>
      </c>
      <c r="Z75" s="116" t="s">
        <v>90</v>
      </c>
      <c r="AA75" s="175">
        <f>IF(Z75="Completa",10,IF(Z75="Incompleta",5,IF(Z75="No existe",0)))</f>
        <v>10</v>
      </c>
      <c r="AB75" s="185">
        <f>O75+Q75+S75+U75+W75+Y75+AA75</f>
        <v>100</v>
      </c>
      <c r="AC75" s="185" t="str">
        <f>IF(AB75&lt;86,"Débil",(IF(AB75&lt;96,"Moderado","Fuerte")))</f>
        <v>Fuerte</v>
      </c>
      <c r="AD75" s="185" t="s">
        <v>74</v>
      </c>
      <c r="AE75" s="185" t="str">
        <f>IF(OR(AND(AC75="Fuerte",AD75="Moderado"),AND(AC75="Moderado",AD75="Fuerte"),AND(AC75="Moderado",AD75="Moderado")),"Moderado",IF(OR(AND(AC75="Fuerte",AD75="Débil"),AND(AC75="Moderado",AD75="Débil"),AND(AC75="Débil")),"Débil",IF(AND(AC75="Fuerte",AD75="Fuerte"),"Fuerte")))</f>
        <v>Fuerte</v>
      </c>
      <c r="AF75" s="185" t="str">
        <f>IF(AE75="Fuerte","100",IF(AE75="Moderado","50",IF(AE75="Débil","0")))</f>
        <v>100</v>
      </c>
      <c r="AG75" s="232">
        <v>1</v>
      </c>
      <c r="AH75" s="232">
        <f>(AF75+AF76+AF77+AF78+AF79)/AG75</f>
        <v>100</v>
      </c>
      <c r="AI75" s="232" t="str">
        <f>IF(AH75&lt;50,"Débil",IF(AH75&lt;=99,"Moderado",IF(AH75=100,"Fuerte",IF(AH75="","ERROR"))))</f>
        <v>Fuerte</v>
      </c>
      <c r="AJ75" s="232" t="s">
        <v>75</v>
      </c>
      <c r="AK75" s="239">
        <f>IF(AI75="Débil",0,IF(AND(AI75="Moderado",AJ75="Directamente"),20%,IF(AND(AI75="Moderado",AJ75="No disminuye"),0,IF(AND(AI75="Fuerte",AJ75="Directamente"),40%,IF(AND(AI75="Fuerte",AJ75="No disminuye"),0)))))</f>
        <v>0.4</v>
      </c>
      <c r="AL75" s="230">
        <f>AK75-G75</f>
        <v>0</v>
      </c>
      <c r="AM75" s="229" t="str">
        <f>IF(AL75=100%,"Casi Seguro",IF(AL75=80,"Probable",IF(AL75=60%,"Posible",IF(AL75=40%,"Improbable",IF(AL75=20%,"Rara Vez",IF(AL75=0,"Rara Vez",IF(AL75&lt;0,"Rara Vez")))))))</f>
        <v>Rara Vez</v>
      </c>
      <c r="AN75" s="243" t="s">
        <v>96</v>
      </c>
      <c r="AO75" s="242">
        <f>IF(AI75="Débil",0,IF(AND(AI75="Moderado",AN75="Directamente"),20%,IF(AND(AI75="Moderado",AN75="Indirectamente"),0,IF(AND(AI75="Moderado",AN75="No disminuye"),0,IF(AND(AI75="Fuerte",AN75="Directamente"),40%,IF(AND(AI75="Fuerte",AN75="Indirectamente"),20%,IF(AND(AI75="Fuerte",AN75="No disminuye"),0)))))))</f>
        <v>0</v>
      </c>
      <c r="AP75" s="230">
        <f>J75-AO75</f>
        <v>1</v>
      </c>
      <c r="AQ75" s="229" t="str">
        <f>IF(AP75=100%,"Catastrófico",IF(AP75=80%,"Mayor",IF(AP75=60%,"Moderado",IF(AP75&lt;=60%,"Moderado"))))</f>
        <v>Catastrófico</v>
      </c>
      <c r="AR75" s="232" t="str">
        <f>IF(OR(AND(AQ75="Moderado",AM75="Rara Vez"),AND(AQ75="Moderado",AM75="Improbable")),"Moderado",IF(OR(AND(AQ75="Mayor",AM75="Improbable"),AND(AQ75="Mayor",AM75="Rara Vez"),AND(AQ75="Moderado",AM75="Probable"),AND(AQ75="Moderado",AM75="Posible")),"Alto",IF(OR(AND(AQ75="Moderado",AM75="Casi Seguro"),AND(AQ75="Mayor",AM75="Posible"),AND(AQ75="Mayor",AM75="Probable"),AND(AQ75="Mayor",AM75="Casi Seguro")),"Extremo",IF(AQ75="Catastrófico","Extremo"))))</f>
        <v>Extremo</v>
      </c>
      <c r="AS75" s="248" t="s">
        <v>77</v>
      </c>
      <c r="AT75" s="186"/>
      <c r="AU75" s="186"/>
      <c r="AV75" s="117"/>
      <c r="AW75" s="117"/>
      <c r="AX75" s="118"/>
      <c r="AY75" s="187"/>
      <c r="AZ75" s="227" t="s">
        <v>685</v>
      </c>
      <c r="BA75" s="227" t="s">
        <v>93</v>
      </c>
    </row>
    <row r="76" spans="1:53" s="86" customFormat="1" ht="24" customHeight="1" x14ac:dyDescent="0.25">
      <c r="A76" s="244"/>
      <c r="B76" s="227"/>
      <c r="C76" s="227"/>
      <c r="D76" s="227"/>
      <c r="E76" s="227"/>
      <c r="F76" s="229"/>
      <c r="G76" s="229"/>
      <c r="H76" s="228"/>
      <c r="I76" s="229"/>
      <c r="J76" s="229"/>
      <c r="K76" s="229"/>
      <c r="L76" s="187">
        <v>2</v>
      </c>
      <c r="M76" s="661"/>
      <c r="N76" s="115"/>
      <c r="O76" s="175" t="b">
        <f t="shared" ref="O76:O79" si="154">IF(N76="Asignado",15,IF(N76="NO asignado",0))</f>
        <v>0</v>
      </c>
      <c r="P76" s="116"/>
      <c r="Q76" s="175" t="b">
        <f t="shared" ref="Q76:Q79" si="155">IF(P76="Adecuado",15,IF(P76="Inadecuado",0))</f>
        <v>0</v>
      </c>
      <c r="R76" s="116"/>
      <c r="S76" s="175" t="b">
        <f t="shared" ref="S76:S79" si="156">IF(R76="Oportuna",15,IF(R76="Inoportuna",0))</f>
        <v>0</v>
      </c>
      <c r="T76" s="116"/>
      <c r="U76" s="175" t="b">
        <f t="shared" ref="U76:U79" si="157">IF(T76="Prevenir",15,IF(T76="Detectar",10,IF(T76="No es un control",0)))</f>
        <v>0</v>
      </c>
      <c r="V76" s="116"/>
      <c r="W76" s="175" t="b">
        <f t="shared" ref="W76:W79" si="158">IF(V76="Confiable",15,IF(V76="No confiable",0))</f>
        <v>0</v>
      </c>
      <c r="X76" s="116"/>
      <c r="Y76" s="175" t="b">
        <f t="shared" ref="Y76:Y79" si="159">IF(X76="Se investigan oportunamente",15,IF(X76="No se investigan oportunamente",0))</f>
        <v>0</v>
      </c>
      <c r="Z76" s="116"/>
      <c r="AA76" s="175" t="b">
        <f t="shared" ref="AA76:AA79" si="160">IF(Z76="Completa",10,IF(Z76="Incompleta",5,IF(Z76="No existe",0)))</f>
        <v>0</v>
      </c>
      <c r="AB76" s="185">
        <f t="shared" ref="AB76:AB79" si="161">O76+Q76+S76+U76+W76+Y76+AA76</f>
        <v>0</v>
      </c>
      <c r="AC76" s="185" t="str">
        <f t="shared" ref="AC76:AC79" si="162">IF(AB76&lt;86,"Débil",(IF(AB76&lt;96,"Moderado","Fuerte")))</f>
        <v>Débil</v>
      </c>
      <c r="AD76" s="185"/>
      <c r="AE76" s="185" t="str">
        <f t="shared" ref="AE76:AE79" si="163">IF(OR(AND(AC76="Fuerte",AD76="Moderado"),AND(AC76="Moderado",AD76="Fuerte"),AND(AC76="Moderado",AD76="Moderado")),"Moderado",IF(OR(AND(AC76="Fuerte",AD76="Débil"),AND(AC76="Moderado",AD76="Débil"),AND(AC76="Débil")),"Débil",IF(AND(AC76="Fuerte",AD76="Fuerte"),"Fuerte")))</f>
        <v>Débil</v>
      </c>
      <c r="AF76" s="185" t="str">
        <f t="shared" ref="AF76:AF79" si="164">IF(AE76="Fuerte","100",IF(AE76="Moderado","50",IF(AE76="Débil","0")))</f>
        <v>0</v>
      </c>
      <c r="AG76" s="232"/>
      <c r="AH76" s="232"/>
      <c r="AI76" s="232"/>
      <c r="AJ76" s="232"/>
      <c r="AK76" s="239"/>
      <c r="AL76" s="231"/>
      <c r="AM76" s="229"/>
      <c r="AN76" s="243"/>
      <c r="AO76" s="242"/>
      <c r="AP76" s="231"/>
      <c r="AQ76" s="229"/>
      <c r="AR76" s="232"/>
      <c r="AS76" s="248"/>
      <c r="AT76" s="186"/>
      <c r="AU76" s="187"/>
      <c r="AV76" s="117"/>
      <c r="AW76" s="117"/>
      <c r="AX76" s="186"/>
      <c r="AY76" s="187"/>
      <c r="AZ76" s="227"/>
      <c r="BA76" s="227"/>
    </row>
    <row r="77" spans="1:53" s="86" customFormat="1" ht="24" customHeight="1" x14ac:dyDescent="0.25">
      <c r="A77" s="244"/>
      <c r="B77" s="227"/>
      <c r="C77" s="227"/>
      <c r="D77" s="227"/>
      <c r="E77" s="227"/>
      <c r="F77" s="229"/>
      <c r="G77" s="229"/>
      <c r="H77" s="228"/>
      <c r="I77" s="229"/>
      <c r="J77" s="229"/>
      <c r="K77" s="229"/>
      <c r="L77" s="187">
        <v>3</v>
      </c>
      <c r="M77" s="134"/>
      <c r="N77" s="115"/>
      <c r="O77" s="175" t="b">
        <f t="shared" si="154"/>
        <v>0</v>
      </c>
      <c r="P77" s="116"/>
      <c r="Q77" s="175" t="b">
        <f t="shared" si="155"/>
        <v>0</v>
      </c>
      <c r="R77" s="116"/>
      <c r="S77" s="175" t="b">
        <f t="shared" si="156"/>
        <v>0</v>
      </c>
      <c r="T77" s="116"/>
      <c r="U77" s="175" t="b">
        <f t="shared" si="157"/>
        <v>0</v>
      </c>
      <c r="V77" s="116"/>
      <c r="W77" s="175" t="b">
        <f t="shared" si="158"/>
        <v>0</v>
      </c>
      <c r="X77" s="116"/>
      <c r="Y77" s="175" t="b">
        <f t="shared" si="159"/>
        <v>0</v>
      </c>
      <c r="Z77" s="116"/>
      <c r="AA77" s="175" t="b">
        <f t="shared" si="160"/>
        <v>0</v>
      </c>
      <c r="AB77" s="185">
        <f t="shared" si="161"/>
        <v>0</v>
      </c>
      <c r="AC77" s="185" t="str">
        <f t="shared" si="162"/>
        <v>Débil</v>
      </c>
      <c r="AD77" s="185"/>
      <c r="AE77" s="185" t="str">
        <f t="shared" si="163"/>
        <v>Débil</v>
      </c>
      <c r="AF77" s="185" t="str">
        <f t="shared" si="164"/>
        <v>0</v>
      </c>
      <c r="AG77" s="232"/>
      <c r="AH77" s="232"/>
      <c r="AI77" s="232"/>
      <c r="AJ77" s="232"/>
      <c r="AK77" s="239"/>
      <c r="AL77" s="231"/>
      <c r="AM77" s="229"/>
      <c r="AN77" s="243"/>
      <c r="AO77" s="242"/>
      <c r="AP77" s="231"/>
      <c r="AQ77" s="229"/>
      <c r="AR77" s="232"/>
      <c r="AS77" s="248"/>
      <c r="AT77" s="186"/>
      <c r="AU77" s="187"/>
      <c r="AV77" s="117"/>
      <c r="AW77" s="117"/>
      <c r="AX77" s="186"/>
      <c r="AY77" s="187"/>
      <c r="AZ77" s="227"/>
      <c r="BA77" s="227"/>
    </row>
    <row r="78" spans="1:53" s="86" customFormat="1" ht="24" customHeight="1" x14ac:dyDescent="0.25">
      <c r="A78" s="244"/>
      <c r="B78" s="227"/>
      <c r="C78" s="227"/>
      <c r="D78" s="227"/>
      <c r="E78" s="227"/>
      <c r="F78" s="229"/>
      <c r="G78" s="229"/>
      <c r="H78" s="228"/>
      <c r="I78" s="229"/>
      <c r="J78" s="229"/>
      <c r="K78" s="229"/>
      <c r="L78" s="187">
        <v>4</v>
      </c>
      <c r="M78" s="134"/>
      <c r="N78" s="115"/>
      <c r="O78" s="175" t="b">
        <f t="shared" si="154"/>
        <v>0</v>
      </c>
      <c r="P78" s="116"/>
      <c r="Q78" s="175" t="b">
        <f t="shared" si="155"/>
        <v>0</v>
      </c>
      <c r="R78" s="116"/>
      <c r="S78" s="175" t="b">
        <f t="shared" si="156"/>
        <v>0</v>
      </c>
      <c r="T78" s="116"/>
      <c r="U78" s="175" t="b">
        <f t="shared" si="157"/>
        <v>0</v>
      </c>
      <c r="V78" s="116"/>
      <c r="W78" s="175" t="b">
        <f t="shared" si="158"/>
        <v>0</v>
      </c>
      <c r="X78" s="116"/>
      <c r="Y78" s="175" t="b">
        <f t="shared" si="159"/>
        <v>0</v>
      </c>
      <c r="Z78" s="116"/>
      <c r="AA78" s="175" t="b">
        <f t="shared" si="160"/>
        <v>0</v>
      </c>
      <c r="AB78" s="185">
        <f t="shared" si="161"/>
        <v>0</v>
      </c>
      <c r="AC78" s="185" t="str">
        <f t="shared" si="162"/>
        <v>Débil</v>
      </c>
      <c r="AD78" s="185"/>
      <c r="AE78" s="185" t="str">
        <f t="shared" si="163"/>
        <v>Débil</v>
      </c>
      <c r="AF78" s="185" t="str">
        <f t="shared" si="164"/>
        <v>0</v>
      </c>
      <c r="AG78" s="232"/>
      <c r="AH78" s="232"/>
      <c r="AI78" s="232"/>
      <c r="AJ78" s="232"/>
      <c r="AK78" s="239"/>
      <c r="AL78" s="231"/>
      <c r="AM78" s="229"/>
      <c r="AN78" s="243"/>
      <c r="AO78" s="242"/>
      <c r="AP78" s="231"/>
      <c r="AQ78" s="229"/>
      <c r="AR78" s="232"/>
      <c r="AS78" s="248"/>
      <c r="AT78" s="186"/>
      <c r="AU78" s="187"/>
      <c r="AV78" s="117"/>
      <c r="AW78" s="117"/>
      <c r="AX78" s="186"/>
      <c r="AY78" s="187"/>
      <c r="AZ78" s="227"/>
      <c r="BA78" s="227"/>
    </row>
    <row r="79" spans="1:53" s="86" customFormat="1" ht="24" customHeight="1" x14ac:dyDescent="0.25">
      <c r="A79" s="244"/>
      <c r="B79" s="227"/>
      <c r="C79" s="227"/>
      <c r="D79" s="227"/>
      <c r="E79" s="227"/>
      <c r="F79" s="229"/>
      <c r="G79" s="229"/>
      <c r="H79" s="228"/>
      <c r="I79" s="229"/>
      <c r="J79" s="229"/>
      <c r="K79" s="229"/>
      <c r="L79" s="187">
        <v>5</v>
      </c>
      <c r="M79" s="134"/>
      <c r="N79" s="115"/>
      <c r="O79" s="175" t="b">
        <f t="shared" si="154"/>
        <v>0</v>
      </c>
      <c r="P79" s="116"/>
      <c r="Q79" s="175" t="b">
        <f t="shared" si="155"/>
        <v>0</v>
      </c>
      <c r="R79" s="116"/>
      <c r="S79" s="175" t="b">
        <f t="shared" si="156"/>
        <v>0</v>
      </c>
      <c r="T79" s="116"/>
      <c r="U79" s="175" t="b">
        <f t="shared" si="157"/>
        <v>0</v>
      </c>
      <c r="V79" s="116"/>
      <c r="W79" s="175" t="b">
        <f t="shared" si="158"/>
        <v>0</v>
      </c>
      <c r="X79" s="116"/>
      <c r="Y79" s="175" t="b">
        <f t="shared" si="159"/>
        <v>0</v>
      </c>
      <c r="Z79" s="116"/>
      <c r="AA79" s="175" t="b">
        <f t="shared" si="160"/>
        <v>0</v>
      </c>
      <c r="AB79" s="185">
        <f t="shared" si="161"/>
        <v>0</v>
      </c>
      <c r="AC79" s="185" t="str">
        <f t="shared" si="162"/>
        <v>Débil</v>
      </c>
      <c r="AD79" s="185"/>
      <c r="AE79" s="185" t="str">
        <f t="shared" si="163"/>
        <v>Débil</v>
      </c>
      <c r="AF79" s="185" t="str">
        <f t="shared" si="164"/>
        <v>0</v>
      </c>
      <c r="AG79" s="232"/>
      <c r="AH79" s="232"/>
      <c r="AI79" s="232"/>
      <c r="AJ79" s="232"/>
      <c r="AK79" s="239"/>
      <c r="AL79" s="231"/>
      <c r="AM79" s="229"/>
      <c r="AN79" s="243"/>
      <c r="AO79" s="242"/>
      <c r="AP79" s="231"/>
      <c r="AQ79" s="229"/>
      <c r="AR79" s="232"/>
      <c r="AS79" s="248"/>
      <c r="AT79" s="186"/>
      <c r="AU79" s="187"/>
      <c r="AV79" s="117"/>
      <c r="AW79" s="117"/>
      <c r="AX79" s="186"/>
      <c r="AY79" s="187"/>
      <c r="AZ79" s="227"/>
      <c r="BA79" s="227"/>
    </row>
    <row r="80" spans="1:53" s="86" customFormat="1" ht="24" customHeight="1" x14ac:dyDescent="0.2">
      <c r="A80" s="244" t="s">
        <v>695</v>
      </c>
      <c r="B80" s="227" t="s">
        <v>726</v>
      </c>
      <c r="C80" s="245" t="s">
        <v>696</v>
      </c>
      <c r="D80" s="245" t="s">
        <v>697</v>
      </c>
      <c r="E80" s="245" t="s">
        <v>89</v>
      </c>
      <c r="F80" s="238" t="str">
        <f>IF(AND(E80=[10]calificación_impacto_corrupción!$B$2),[10]calificación_impacto_corrupción!$A$2,IF(AND(E80=[10]calificación_impacto_corrupción!$B$3),[10]calificación_impacto_corrupción!$A$3,IF(AND(E80=[10]calificación_impacto_corrupción!$B$4),[10]calificación_impacto_corrupción!$A$4,IF(AND(E80=[10]calificación_impacto_corrupción!$B$5),[10]calificación_impacto_corrupción!$A$5,IF(AND(E80=[10]calificación_impacto_corrupción!$B$6),[10]calificación_impacto_corrupción!$A$6,FALSE)))))</f>
        <v>Posible</v>
      </c>
      <c r="G80" s="238" t="str">
        <f>IF(AND(E80=[10]calificación_impacto_corrupción!$B$6),"20%",IF(AND(E80=[10]calificación_impacto_corrupción!$B$5),"40%",IF(AND(E80=[10]calificación_impacto_corrupción!$B$4),"60%",IF(AND(E80=[10]calificación_impacto_corrupción!$B$3),"80%",IF(AND(E80=[10]calificación_impacto_corrupción!$B$2),"100%",FALSE)))))</f>
        <v>60%</v>
      </c>
      <c r="H80" s="241" t="s">
        <v>65</v>
      </c>
      <c r="I80" s="238" t="str">
        <f>IF(AND(H80=[13]DESPLEGABLES!$A$19),"Leve",IF(AND(H80=[13]DESPLEGABLES!$A$20),"Menor",IF(AND(H80=[13]DESPLEGABLES!$A$21),"Moderado",IF(AND(H80=[13]DESPLEGABLES!$A$22),"Mayor",IF(AND(H80=[13]DESPLEGABLES!$A$23),"Catastrófico",IF(AND(H80=[13]DESPLEGABLES!$A$25),"Leve",IF(AND(H80=[13]DESPLEGABLES!$A$26),"Menor",IF(AND(H80=[13]DESPLEGABLES!$A$27),"Moderado",IF(AND(H80=[13]DESPLEGABLES!$A$28),"Mayor",IF(AND(H80=[13]DESPLEGABLES!$A$29),"Catastrófico",IF(AND(H80=[13]DESPLEGABLES!$A$31),"Moderado",IF(AND(H80=[13]DESPLEGABLES!$A$32),"Mayor",IF(AND(H80=[13]DESPLEGABLES!$A$33),"Catastrófico","")))))))))))))</f>
        <v>Catastrófico</v>
      </c>
      <c r="J80" s="238" t="str">
        <f>IF(AND(I80="Leve"),"20%",IF(AND(I80="Menor"),"40%",IF(AND(I80="Moderado"),"60%",IF(AND(I80="Mayor"),"80%",IF(AND(I80="Catastrófico"),"100%","")))))</f>
        <v>100%</v>
      </c>
      <c r="K80" s="238" t="str">
        <f>IF(AND(G80&lt;="40%",J80="20%"),"Bajo",IF(AND(G80="60%",J80="20%"),"Moderado",IF(AND(G80="80%",J80="20%"),"Moderado",IF(AND(G80="100%",J80="20%"),"Alto",IF(AND(G80="20%",J80="40%"),"Bajo",IF(AND(G80="40%",J80="40%"),"Moderado",IF(AND(G80="60%",J80="40%"),"Moderado",IF(AND(G80="80%",J80="40%"),"Moderado",IF(AND(G80="100%",J80="40%"),"Alto",IF(AND(G80="20%",J80="60%"),"Moderado",IF(AND(G80="40%",J80="60%"),"Moderado",IF(AND(G80="60%",J80="60%"),"Moderado",IF(AND(G80="80%",J80="60%"),"Alto",IF(AND(G80="100%",J80="60%"),"Alto",IF(AND(G80="20%",J80="80%"),"Alto",IF(AND(G80="40%",J80="80%"),"Alto",IF(AND(G80="60%",J80="80%"),"Alto",IF(AND(G80="80%",J80="80%"),"Alto",IF(AND(G80="100%",J80="80%"),"Alto",IF(AND(G80="20%",J80="100%"),"Extremo",IF(AND(G80="40%",J80="100%"),"Extremo",IF(AND(G80="60%",J80="100%"),"Extremo",IF(AND(G80="80%",J80="100%"),"Moderado",IF(AND(G80="100%",J80="100%"),"Extremo",""))))))))))))))))))))))))</f>
        <v>Extremo</v>
      </c>
      <c r="L80" s="119">
        <v>1</v>
      </c>
      <c r="M80" s="136" t="s">
        <v>768</v>
      </c>
      <c r="N80" s="125" t="s">
        <v>67</v>
      </c>
      <c r="O80" s="180">
        <f>IF(N80="Asignado",15,IF(N80="NO asignado",0))</f>
        <v>15</v>
      </c>
      <c r="P80" s="120" t="s">
        <v>68</v>
      </c>
      <c r="Q80" s="180">
        <f>IF(P80="Adecuado",15,IF(P80="Inadecuado",0))</f>
        <v>15</v>
      </c>
      <c r="R80" s="120" t="s">
        <v>69</v>
      </c>
      <c r="S80" s="180">
        <f>IF(R80="Oportuna",15,IF(R80="Inoportuna",0))</f>
        <v>15</v>
      </c>
      <c r="T80" s="120" t="s">
        <v>70</v>
      </c>
      <c r="U80" s="180">
        <f>IF(T80="Prevenir",15,IF(T80="Detectar",10,IF(T80="No es un control",0)))</f>
        <v>15</v>
      </c>
      <c r="V80" s="120" t="s">
        <v>71</v>
      </c>
      <c r="W80" s="180">
        <f>IF(V80="Confiable",15,IF(V80="No confiable",0))</f>
        <v>15</v>
      </c>
      <c r="X80" s="120" t="s">
        <v>72</v>
      </c>
      <c r="Y80" s="180">
        <f>IF(X80="Se investigan oportunamente",15,IF(X80="No se investigan oportunamente",0))</f>
        <v>15</v>
      </c>
      <c r="Z80" s="120" t="s">
        <v>90</v>
      </c>
      <c r="AA80" s="180">
        <f>IF(Z80="Completa",10,IF(Z80="Incompleta",5,IF(Z80="No existe",0)))</f>
        <v>10</v>
      </c>
      <c r="AB80" s="184">
        <f>O80+Q80+S80+U80+W80+Y80+AA80</f>
        <v>100</v>
      </c>
      <c r="AC80" s="184" t="str">
        <f>IF(AB80&lt;86,"Débil",(IF(AB80&lt;96,"Moderado","Fuerte")))</f>
        <v>Fuerte</v>
      </c>
      <c r="AD80" s="184" t="s">
        <v>114</v>
      </c>
      <c r="AE80" s="184" t="str">
        <f>IF(OR(AND(AC80="Fuerte",AD80="Moderado"),AND(AC80="Moderado",AD80="Fuerte"),AND(AC80="Moderado",AD80="Moderado")),"Moderado",IF(OR(AND(AC80="Fuerte",AD80="Débil"),AND(AC80="Moderado",AD80="Débil"),AND(AC80="Débil")),"Débil",IF(AND(AC80="Fuerte",AD80="Fuerte"),"Fuerte")))</f>
        <v>Moderado</v>
      </c>
      <c r="AF80" s="184" t="str">
        <f>IF(AE80="Fuerte","100",IF(AE80="Moderado","50",IF(AE80="Débil","0")))</f>
        <v>50</v>
      </c>
      <c r="AG80" s="240">
        <v>2</v>
      </c>
      <c r="AH80" s="240">
        <f>(AF80+AF81+AF82+AF83+AF84)/AG80</f>
        <v>50</v>
      </c>
      <c r="AI80" s="240" t="str">
        <f>IF(AH80&lt;50,"Débil",IF(AH80&lt;=99,"Moderado",IF(AH80=100,"Fuerte",IF(AH80="","ERROR"))))</f>
        <v>Moderado</v>
      </c>
      <c r="AJ80" s="240" t="s">
        <v>75</v>
      </c>
      <c r="AK80" s="246">
        <f>IF(AI80="Débil",0,IF(AND(AI80="Moderado",AJ80="Directamente"),20%,IF(AND(AI80="Moderado",AJ80="No disminuye"),0,IF(AND(AI80="Fuerte",AJ80="Directamente"),40%,IF(AND(AI80="Fuerte",AJ80="No disminuye"),0)))))</f>
        <v>0.2</v>
      </c>
      <c r="AL80" s="236">
        <f>G80-AK80</f>
        <v>0.39999999999999997</v>
      </c>
      <c r="AM80" s="238" t="str">
        <f>IF(AL80=100%,"Casi Seguro",IF(AL80=80,"Probable",IF(AL80=60%,"Posible",IF(AL80=40%,"Improbable",IF(AL80=20%,"Rara Vez",IF(AL80=0,"Rara Vez",IF(AL80&lt;0,"Rara Vez")))))))</f>
        <v>Improbable</v>
      </c>
      <c r="AN80" s="247" t="s">
        <v>96</v>
      </c>
      <c r="AO80" s="235">
        <f>IF(AI80="Débil",0,IF(AND(AI80="Moderado",AN80="Directamente"),20%,IF(AND(AI80="Moderado",AN80="Indirectamente"),0,IF(AND(AI80="Moderado",AN80="No disminuye"),0,IF(AND(AI80="Fuerte",AN80="Directamente"),40%,IF(AND(AI80="Fuerte",AN80="Indirectamente"),20%,IF(AND(AI80="Fuerte",AN80="No disminuye"),0)))))))</f>
        <v>0</v>
      </c>
      <c r="AP80" s="236">
        <f>J80-AO80</f>
        <v>1</v>
      </c>
      <c r="AQ80" s="238" t="str">
        <f>IF(AP80=100%,"Catastrófico",IF(AP80=80%,"Mayor",IF(AP80=60%,"Moderado",IF(AP80&lt;=60%,"Moderado"))))</f>
        <v>Catastrófico</v>
      </c>
      <c r="AR80" s="240" t="str">
        <f>IF(OR(AND(AQ80="Moderado",AM80="Rara Vez"),AND(AQ80="Moderado",AM80="Improbable")),"Moderado",IF(OR(AND(AQ80="Mayor",AM80="Improbable"),AND(AQ80="Mayor",AM80="Rara Vez"),AND(AQ80="Moderado",AM80="Probable"),AND(AQ80="Moderado",AM80="Posible")),"Alto",IF(OR(AND(AQ80="Moderado",AM80="Casi Seguro"),AND(AQ80="Mayor",AM80="Posible"),AND(AQ80="Mayor",AM80="Probable"),AND(AQ80="Mayor",AM80="Casi Seguro")),"Extremo",IF(AQ80="Catastrófico","Extremo"))))</f>
        <v>Extremo</v>
      </c>
      <c r="AS80" s="249" t="s">
        <v>77</v>
      </c>
      <c r="AT80" s="122"/>
      <c r="AU80" s="124"/>
      <c r="AV80" s="123"/>
      <c r="AW80" s="123"/>
      <c r="AX80" s="405"/>
      <c r="AY80" s="121"/>
      <c r="AZ80" s="233" t="s">
        <v>698</v>
      </c>
      <c r="BA80" s="233" t="s">
        <v>93</v>
      </c>
    </row>
    <row r="81" spans="1:53" s="86" customFormat="1" ht="24" customHeight="1" x14ac:dyDescent="0.25">
      <c r="A81" s="244"/>
      <c r="B81" s="227"/>
      <c r="C81" s="245"/>
      <c r="D81" s="245"/>
      <c r="E81" s="245"/>
      <c r="F81" s="238"/>
      <c r="G81" s="238"/>
      <c r="H81" s="241"/>
      <c r="I81" s="238"/>
      <c r="J81" s="238"/>
      <c r="K81" s="238"/>
      <c r="L81" s="119">
        <v>2</v>
      </c>
      <c r="M81" s="133" t="s">
        <v>575</v>
      </c>
      <c r="N81" s="125" t="s">
        <v>67</v>
      </c>
      <c r="O81" s="180">
        <f t="shared" ref="O81:O84" si="165">IF(N81="Asignado",15,IF(N81="NO asignado",0))</f>
        <v>15</v>
      </c>
      <c r="P81" s="120" t="s">
        <v>68</v>
      </c>
      <c r="Q81" s="180">
        <f t="shared" ref="Q81:Q84" si="166">IF(P81="Adecuado",15,IF(P81="Inadecuado",0))</f>
        <v>15</v>
      </c>
      <c r="R81" s="120" t="s">
        <v>69</v>
      </c>
      <c r="S81" s="180">
        <f t="shared" ref="S81:S84" si="167">IF(R81="Oportuna",15,IF(R81="Inoportuna",0))</f>
        <v>15</v>
      </c>
      <c r="T81" s="120" t="s">
        <v>70</v>
      </c>
      <c r="U81" s="180">
        <f t="shared" ref="U81:U84" si="168">IF(T81="Prevenir",15,IF(T81="Detectar",10,IF(T81="No es un control",0)))</f>
        <v>15</v>
      </c>
      <c r="V81" s="120" t="s">
        <v>71</v>
      </c>
      <c r="W81" s="180">
        <f t="shared" ref="W81:W84" si="169">IF(V81="Confiable",15,IF(V81="No confiable",0))</f>
        <v>15</v>
      </c>
      <c r="X81" s="120" t="s">
        <v>72</v>
      </c>
      <c r="Y81" s="180">
        <f t="shared" ref="Y81:Y84" si="170">IF(X81="Se investigan oportunamente",15,IF(X81="No se investigan oportunamente",0))</f>
        <v>15</v>
      </c>
      <c r="Z81" s="120" t="s">
        <v>90</v>
      </c>
      <c r="AA81" s="180">
        <f t="shared" ref="AA81:AA84" si="171">IF(Z81="Completa",10,IF(Z81="Incompleta",5,IF(Z81="No existe",0)))</f>
        <v>10</v>
      </c>
      <c r="AB81" s="184">
        <f t="shared" ref="AB81:AB84" si="172">O81+Q81+S81+U81+W81+Y81+AA81</f>
        <v>100</v>
      </c>
      <c r="AC81" s="184" t="str">
        <f t="shared" ref="AC81:AC84" si="173">IF(AB81&lt;86,"Débil",(IF(AB81&lt;96,"Moderado","Fuerte")))</f>
        <v>Fuerte</v>
      </c>
      <c r="AD81" s="184" t="s">
        <v>114</v>
      </c>
      <c r="AE81" s="184" t="str">
        <f t="shared" ref="AE81:AE84" si="174">IF(OR(AND(AC81="Fuerte",AD81="Moderado"),AND(AC81="Moderado",AD81="Fuerte"),AND(AC81="Moderado",AD81="Moderado")),"Moderado",IF(OR(AND(AC81="Fuerte",AD81="Débil"),AND(AC81="Moderado",AD81="Débil"),AND(AC81="Débil")),"Débil",IF(AND(AC81="Fuerte",AD81="Fuerte"),"Fuerte")))</f>
        <v>Moderado</v>
      </c>
      <c r="AF81" s="184" t="str">
        <f t="shared" ref="AF81:AF84" si="175">IF(AE81="Fuerte","100",IF(AE81="Moderado","50",IF(AE81="Débil","0")))</f>
        <v>50</v>
      </c>
      <c r="AG81" s="240"/>
      <c r="AH81" s="240"/>
      <c r="AI81" s="240"/>
      <c r="AJ81" s="240"/>
      <c r="AK81" s="246"/>
      <c r="AL81" s="237"/>
      <c r="AM81" s="238"/>
      <c r="AN81" s="247"/>
      <c r="AO81" s="235"/>
      <c r="AP81" s="237"/>
      <c r="AQ81" s="238"/>
      <c r="AR81" s="240"/>
      <c r="AS81" s="249"/>
      <c r="AT81" s="122"/>
      <c r="AU81" s="121"/>
      <c r="AV81" s="123"/>
      <c r="AW81" s="123"/>
      <c r="AX81" s="124"/>
      <c r="AY81" s="121"/>
      <c r="AZ81" s="234"/>
      <c r="BA81" s="234"/>
    </row>
    <row r="82" spans="1:53" s="86" customFormat="1" ht="24" customHeight="1" x14ac:dyDescent="0.25">
      <c r="A82" s="244"/>
      <c r="B82" s="227"/>
      <c r="C82" s="245"/>
      <c r="D82" s="245"/>
      <c r="E82" s="245"/>
      <c r="F82" s="238"/>
      <c r="G82" s="238"/>
      <c r="H82" s="241"/>
      <c r="I82" s="238"/>
      <c r="J82" s="238"/>
      <c r="K82" s="238"/>
      <c r="L82" s="119">
        <v>3</v>
      </c>
      <c r="M82" s="133"/>
      <c r="N82" s="125"/>
      <c r="O82" s="180" t="b">
        <f t="shared" si="165"/>
        <v>0</v>
      </c>
      <c r="P82" s="120"/>
      <c r="Q82" s="180" t="b">
        <f t="shared" si="166"/>
        <v>0</v>
      </c>
      <c r="R82" s="120"/>
      <c r="S82" s="180" t="b">
        <f t="shared" si="167"/>
        <v>0</v>
      </c>
      <c r="T82" s="120"/>
      <c r="U82" s="180" t="b">
        <f t="shared" si="168"/>
        <v>0</v>
      </c>
      <c r="V82" s="120"/>
      <c r="W82" s="180" t="b">
        <f t="shared" si="169"/>
        <v>0</v>
      </c>
      <c r="X82" s="120"/>
      <c r="Y82" s="180" t="b">
        <f t="shared" si="170"/>
        <v>0</v>
      </c>
      <c r="Z82" s="120"/>
      <c r="AA82" s="180" t="b">
        <f t="shared" si="171"/>
        <v>0</v>
      </c>
      <c r="AB82" s="184">
        <f t="shared" si="172"/>
        <v>0</v>
      </c>
      <c r="AC82" s="184" t="str">
        <f t="shared" si="173"/>
        <v>Débil</v>
      </c>
      <c r="AD82" s="184"/>
      <c r="AE82" s="184" t="str">
        <f t="shared" si="174"/>
        <v>Débil</v>
      </c>
      <c r="AF82" s="184" t="str">
        <f t="shared" si="175"/>
        <v>0</v>
      </c>
      <c r="AG82" s="240"/>
      <c r="AH82" s="240"/>
      <c r="AI82" s="240"/>
      <c r="AJ82" s="240"/>
      <c r="AK82" s="246"/>
      <c r="AL82" s="237"/>
      <c r="AM82" s="238"/>
      <c r="AN82" s="247"/>
      <c r="AO82" s="235"/>
      <c r="AP82" s="237"/>
      <c r="AQ82" s="238"/>
      <c r="AR82" s="240"/>
      <c r="AS82" s="249"/>
      <c r="AT82" s="122"/>
      <c r="AU82" s="121"/>
      <c r="AV82" s="123"/>
      <c r="AW82" s="123"/>
      <c r="AX82" s="124"/>
      <c r="AY82" s="121"/>
      <c r="AZ82" s="234"/>
      <c r="BA82" s="234"/>
    </row>
    <row r="83" spans="1:53" s="86" customFormat="1" ht="24" customHeight="1" x14ac:dyDescent="0.25">
      <c r="A83" s="244"/>
      <c r="B83" s="227"/>
      <c r="C83" s="245"/>
      <c r="D83" s="245"/>
      <c r="E83" s="245"/>
      <c r="F83" s="238"/>
      <c r="G83" s="238"/>
      <c r="H83" s="241"/>
      <c r="I83" s="238"/>
      <c r="J83" s="238"/>
      <c r="K83" s="238"/>
      <c r="L83" s="119">
        <v>4</v>
      </c>
      <c r="M83" s="133"/>
      <c r="N83" s="125"/>
      <c r="O83" s="180" t="b">
        <f t="shared" si="165"/>
        <v>0</v>
      </c>
      <c r="P83" s="120"/>
      <c r="Q83" s="180" t="b">
        <f t="shared" si="166"/>
        <v>0</v>
      </c>
      <c r="R83" s="120"/>
      <c r="S83" s="180" t="b">
        <f t="shared" si="167"/>
        <v>0</v>
      </c>
      <c r="T83" s="120"/>
      <c r="U83" s="180" t="b">
        <f t="shared" si="168"/>
        <v>0</v>
      </c>
      <c r="V83" s="120"/>
      <c r="W83" s="180" t="b">
        <f t="shared" si="169"/>
        <v>0</v>
      </c>
      <c r="X83" s="120"/>
      <c r="Y83" s="180" t="b">
        <f t="shared" si="170"/>
        <v>0</v>
      </c>
      <c r="Z83" s="120"/>
      <c r="AA83" s="180" t="b">
        <f t="shared" si="171"/>
        <v>0</v>
      </c>
      <c r="AB83" s="184">
        <f t="shared" si="172"/>
        <v>0</v>
      </c>
      <c r="AC83" s="184" t="str">
        <f t="shared" si="173"/>
        <v>Débil</v>
      </c>
      <c r="AD83" s="184"/>
      <c r="AE83" s="184" t="str">
        <f t="shared" si="174"/>
        <v>Débil</v>
      </c>
      <c r="AF83" s="184" t="str">
        <f t="shared" si="175"/>
        <v>0</v>
      </c>
      <c r="AG83" s="240"/>
      <c r="AH83" s="240"/>
      <c r="AI83" s="240"/>
      <c r="AJ83" s="240"/>
      <c r="AK83" s="246"/>
      <c r="AL83" s="237"/>
      <c r="AM83" s="238"/>
      <c r="AN83" s="247"/>
      <c r="AO83" s="235"/>
      <c r="AP83" s="237"/>
      <c r="AQ83" s="238"/>
      <c r="AR83" s="240"/>
      <c r="AS83" s="249"/>
      <c r="AT83" s="122"/>
      <c r="AU83" s="121"/>
      <c r="AV83" s="123"/>
      <c r="AW83" s="123"/>
      <c r="AX83" s="124"/>
      <c r="AY83" s="121"/>
      <c r="AZ83" s="234"/>
      <c r="BA83" s="234"/>
    </row>
    <row r="84" spans="1:53" s="86" customFormat="1" ht="24" customHeight="1" x14ac:dyDescent="0.25">
      <c r="A84" s="244"/>
      <c r="B84" s="227"/>
      <c r="C84" s="245"/>
      <c r="D84" s="245"/>
      <c r="E84" s="245"/>
      <c r="F84" s="238"/>
      <c r="G84" s="238"/>
      <c r="H84" s="241"/>
      <c r="I84" s="238"/>
      <c r="J84" s="238"/>
      <c r="K84" s="238"/>
      <c r="L84" s="119">
        <v>5</v>
      </c>
      <c r="M84" s="133"/>
      <c r="N84" s="125"/>
      <c r="O84" s="180" t="b">
        <f t="shared" si="165"/>
        <v>0</v>
      </c>
      <c r="P84" s="120"/>
      <c r="Q84" s="180" t="b">
        <f t="shared" si="166"/>
        <v>0</v>
      </c>
      <c r="R84" s="120"/>
      <c r="S84" s="180" t="b">
        <f t="shared" si="167"/>
        <v>0</v>
      </c>
      <c r="T84" s="120"/>
      <c r="U84" s="180" t="b">
        <f t="shared" si="168"/>
        <v>0</v>
      </c>
      <c r="V84" s="120"/>
      <c r="W84" s="180" t="b">
        <f t="shared" si="169"/>
        <v>0</v>
      </c>
      <c r="X84" s="120"/>
      <c r="Y84" s="180" t="b">
        <f t="shared" si="170"/>
        <v>0</v>
      </c>
      <c r="Z84" s="120"/>
      <c r="AA84" s="180" t="b">
        <f t="shared" si="171"/>
        <v>0</v>
      </c>
      <c r="AB84" s="184">
        <f t="shared" si="172"/>
        <v>0</v>
      </c>
      <c r="AC84" s="184" t="str">
        <f t="shared" si="173"/>
        <v>Débil</v>
      </c>
      <c r="AD84" s="184"/>
      <c r="AE84" s="184" t="str">
        <f t="shared" si="174"/>
        <v>Débil</v>
      </c>
      <c r="AF84" s="184" t="str">
        <f t="shared" si="175"/>
        <v>0</v>
      </c>
      <c r="AG84" s="240"/>
      <c r="AH84" s="240"/>
      <c r="AI84" s="240"/>
      <c r="AJ84" s="240"/>
      <c r="AK84" s="246"/>
      <c r="AL84" s="237"/>
      <c r="AM84" s="238"/>
      <c r="AN84" s="247"/>
      <c r="AO84" s="235"/>
      <c r="AP84" s="237"/>
      <c r="AQ84" s="238"/>
      <c r="AR84" s="240"/>
      <c r="AS84" s="249"/>
      <c r="AT84" s="122"/>
      <c r="AU84" s="121"/>
      <c r="AV84" s="123"/>
      <c r="AW84" s="123"/>
      <c r="AX84" s="124"/>
      <c r="AY84" s="121"/>
      <c r="AZ84" s="234"/>
      <c r="BA84" s="234"/>
    </row>
    <row r="85" spans="1:53" s="86" customFormat="1" ht="24" customHeight="1" x14ac:dyDescent="0.2">
      <c r="A85" s="244" t="s">
        <v>717</v>
      </c>
      <c r="B85" s="227" t="s">
        <v>725</v>
      </c>
      <c r="C85" s="227" t="s">
        <v>718</v>
      </c>
      <c r="D85" s="227" t="s">
        <v>719</v>
      </c>
      <c r="E85" s="227" t="s">
        <v>94</v>
      </c>
      <c r="F85" s="229" t="str">
        <f>IF(AND(E85=[12]calificación_impacto_corrupción!$B$2),[12]calificación_impacto_corrupción!$A$2,IF(AND(E85=[12]calificación_impacto_corrupción!$B$3),[12]calificación_impacto_corrupción!$A$3,IF(AND(E85=[12]calificación_impacto_corrupción!$B$4),[12]calificación_impacto_corrupción!$A$4,IF(AND(E85=[12]calificación_impacto_corrupción!$B$5),[12]calificación_impacto_corrupción!$A$5,IF(AND(E85=[12]calificación_impacto_corrupción!$B$6),[12]calificación_impacto_corrupción!$A$6,FALSE)))))</f>
        <v>Improbable</v>
      </c>
      <c r="G85" s="229" t="str">
        <f>IF(AND(E85=[12]calificación_impacto_corrupción!$B$6),"20%",IF(AND(E85=[12]calificación_impacto_corrupción!$B$5),"40%",IF(AND(E85=[12]calificación_impacto_corrupción!$B$4),"60%",IF(AND(E85=[12]calificación_impacto_corrupción!$B$3),"80%",IF(AND(E85=[12]calificación_impacto_corrupción!$B$2),"100%",FALSE)))))</f>
        <v>40%</v>
      </c>
      <c r="H85" s="228" t="s">
        <v>65</v>
      </c>
      <c r="I85" s="229" t="str">
        <f>IF(AND(H85=[13]DESPLEGABLES!$A$19),"Leve",IF(AND(H85=[13]DESPLEGABLES!$A$20),"Menor",IF(AND(H85=[13]DESPLEGABLES!$A$21),"Moderado",IF(AND(H85=[13]DESPLEGABLES!$A$22),"Mayor",IF(AND(H85=[13]DESPLEGABLES!$A$23),"Catastrófico",IF(AND(H85=[13]DESPLEGABLES!$A$25),"Leve",IF(AND(H85=[13]DESPLEGABLES!$A$26),"Menor",IF(AND(H85=[13]DESPLEGABLES!$A$27),"Moderado",IF(AND(H85=[13]DESPLEGABLES!$A$28),"Mayor",IF(AND(H85=[13]DESPLEGABLES!$A$29),"Catastrófico",IF(AND(H85=[13]DESPLEGABLES!$A$31),"Moderado",IF(AND(H85=[13]DESPLEGABLES!$A$32),"Mayor",IF(AND(H85=[13]DESPLEGABLES!$A$33),"Catastrófico","")))))))))))))</f>
        <v>Catastrófico</v>
      </c>
      <c r="J85" s="229" t="str">
        <f>IF(AND(I85="Leve"),"20%",IF(AND(I85="Menor"),"40%",IF(AND(I85="Moderado"),"60%",IF(AND(I85="Mayor"),"80%",IF(AND(I85="Catastrófico"),"100%","")))))</f>
        <v>100%</v>
      </c>
      <c r="K85" s="229" t="str">
        <f>IF(AND(G85&lt;="40%",J85="20%"),"Bajo",IF(AND(G85="60%",J85="20%"),"Moderado",IF(AND(G85="80%",J85="20%"),"Moderado",IF(AND(G85="100%",J85="20%"),"Alto",IF(AND(G85="20%",J85="40%"),"Bajo",IF(AND(G85="40%",J85="40%"),"Moderado",IF(AND(G85="60%",J85="40%"),"Moderado",IF(AND(G85="80%",J85="40%"),"Moderado",IF(AND(G85="100%",J85="40%"),"Alto",IF(AND(G85="20%",J85="60%"),"Moderado",IF(AND(G85="40%",J85="60%"),"Moderado",IF(AND(G85="60%",J85="60%"),"Moderado",IF(AND(G85="80%",J85="60%"),"Alto",IF(AND(G85="100%",J85="60%"),"Alto",IF(AND(G85="20%",J85="80%"),"Alto",IF(AND(G85="40%",J85="80%"),"Alto",IF(AND(G85="60%",J85="80%"),"Alto",IF(AND(G85="80%",J85="80%"),"Alto",IF(AND(G85="100%",J85="80%"),"Alto",IF(AND(G85="20%",J85="100%"),"Extremo",IF(AND(G85="40%",J85="100%"),"Extremo",IF(AND(G85="60%",J85="100%"),"Extremo",IF(AND(G85="80%",J85="100%"),"Moderado",IF(AND(G85="100%",J85="100%"),"Extremo",""))))))))))))))))))))))))</f>
        <v>Extremo</v>
      </c>
      <c r="L85" s="187">
        <v>1</v>
      </c>
      <c r="M85" s="661" t="s">
        <v>720</v>
      </c>
      <c r="N85" s="115" t="s">
        <v>67</v>
      </c>
      <c r="O85" s="175">
        <f>IF(N85="Asignado",15,IF(N85="NO asignado",0))</f>
        <v>15</v>
      </c>
      <c r="P85" s="116" t="s">
        <v>68</v>
      </c>
      <c r="Q85" s="175">
        <f>IF(P85="Adecuado",15,IF(P85="Inadecuado",0))</f>
        <v>15</v>
      </c>
      <c r="R85" s="116" t="s">
        <v>69</v>
      </c>
      <c r="S85" s="175">
        <f>IF(R85="Oportuna",15,IF(R85="Inoportuna",0))</f>
        <v>15</v>
      </c>
      <c r="T85" s="116" t="s">
        <v>70</v>
      </c>
      <c r="U85" s="175">
        <f>IF(T85="Prevenir",15,IF(T85="Detectar",10,IF(T85="No es un control",0)))</f>
        <v>15</v>
      </c>
      <c r="V85" s="116" t="s">
        <v>71</v>
      </c>
      <c r="W85" s="175">
        <f>IF(V85="Confiable",15,IF(V85="No confiable",0))</f>
        <v>15</v>
      </c>
      <c r="X85" s="116" t="s">
        <v>72</v>
      </c>
      <c r="Y85" s="175">
        <f>IF(X85="Se investigan oportunamente",15,IF(X85="No se investigan oportunamente",0))</f>
        <v>15</v>
      </c>
      <c r="Z85" s="116" t="s">
        <v>90</v>
      </c>
      <c r="AA85" s="175">
        <f>IF(Z85="Completa",10,IF(Z85="Incompleta",5,IF(Z85="No existe",0)))</f>
        <v>10</v>
      </c>
      <c r="AB85" s="185">
        <f>O85+Q85+S85+U85+W85+Y85+AA85</f>
        <v>100</v>
      </c>
      <c r="AC85" s="185" t="str">
        <f>IF(AB85&lt;86,"Débil",(IF(AB85&lt;96,"Moderado","Fuerte")))</f>
        <v>Fuerte</v>
      </c>
      <c r="AD85" s="185" t="s">
        <v>74</v>
      </c>
      <c r="AE85" s="185" t="str">
        <f>IF(OR(AND(AC85="Fuerte",AD85="Moderado"),AND(AC85="Moderado",AD85="Fuerte"),AND(AC85="Moderado",AD85="Moderado")),"Moderado",IF(OR(AND(AC85="Fuerte",AD85="Débil"),AND(AC85="Moderado",AD85="Débil"),AND(AC85="Débil")),"Débil",IF(AND(AC85="Fuerte",AD85="Fuerte"),"Fuerte")))</f>
        <v>Fuerte</v>
      </c>
      <c r="AF85" s="185" t="str">
        <f>IF(AE85="Fuerte","100",IF(AE85="Moderado","50",IF(AE85="Débil","0")))</f>
        <v>100</v>
      </c>
      <c r="AG85" s="232">
        <v>2</v>
      </c>
      <c r="AH85" s="232">
        <f>(AF85+AF86+AF87+AF88+AF89)/AG85</f>
        <v>100</v>
      </c>
      <c r="AI85" s="232" t="str">
        <f>IF(AH85&lt;50,"Débil",IF(AH85&lt;=99,"Moderado",IF(AH85=100,"Fuerte",IF(AH85="","ERROR"))))</f>
        <v>Fuerte</v>
      </c>
      <c r="AJ85" s="232" t="s">
        <v>75</v>
      </c>
      <c r="AK85" s="239">
        <f>IF(AI85="Débil",0,IF(AND(AI85="Moderado",AJ85="Directamente"),20%,IF(AND(AI85="Moderado",AJ85="No disminuye"),0,IF(AND(AI85="Fuerte",AJ85="Directamente"),40%,IF(AND(AI85="Fuerte",AJ85="No disminuye"),0)))))</f>
        <v>0.4</v>
      </c>
      <c r="AL85" s="230">
        <f>AK85-G85</f>
        <v>0</v>
      </c>
      <c r="AM85" s="229" t="str">
        <f>IF(AL85=100%,"Casi Seguro",IF(AL85=80,"Probable",IF(AL85=60%,"Posible",IF(AL85=40%,"Improbable",IF(AL85=20%,"Rara Vez",IF(AL85=0,"Rara Vez",IF(AL85&lt;0,"Rara Vez")))))))</f>
        <v>Rara Vez</v>
      </c>
      <c r="AN85" s="243" t="s">
        <v>76</v>
      </c>
      <c r="AO85" s="242">
        <f>IF(AI85="Débil",0,IF(AND(AI85="Moderado",AN85="Directamente"),20%,IF(AND(AI85="Moderado",AN85="Indirectamente"),0,IF(AND(AI85="Moderado",AN85="No disminuye"),0,IF(AND(AI85="Fuerte",AN85="Directamente"),40%,IF(AND(AI85="Fuerte",AN85="Indirectamente"),20%,IF(AND(AI85="Fuerte",AN85="No disminuye"),0)))))))</f>
        <v>0.2</v>
      </c>
      <c r="AP85" s="230">
        <f>J85-AO85</f>
        <v>0.8</v>
      </c>
      <c r="AQ85" s="229" t="str">
        <f>IF(AP85=100%,"Catastrófico",IF(AP85=80%,"Mayor",IF(AP85=60%,"Moderado",IF(AP85&lt;=60%,"Moderado"))))</f>
        <v>Mayor</v>
      </c>
      <c r="AR85" s="232" t="str">
        <f>IF(OR(AND(AQ85="Moderado",AM85="Rara Vez"),AND(AQ85="Moderado",AM85="Improbable")),"Moderado",IF(OR(AND(AQ85="Mayor",AM85="Improbable"),AND(AQ85="Mayor",AM85="Rara Vez"),AND(AQ85="Moderado",AM85="Probable"),AND(AQ85="Moderado",AM85="Posible")),"Alto",IF(OR(AND(AQ85="Moderado",AM85="Casi Seguro"),AND(AQ85="Mayor",AM85="Posible"),AND(AQ85="Mayor",AM85="Probable"),AND(AQ85="Mayor",AM85="Casi Seguro")),"Extremo",IF(AQ85="Catastrófico","Extremo"))))</f>
        <v>Alto</v>
      </c>
      <c r="AS85" s="248" t="s">
        <v>77</v>
      </c>
      <c r="AT85" s="186"/>
      <c r="AU85" s="186"/>
      <c r="AV85" s="117"/>
      <c r="AW85" s="117"/>
      <c r="AX85" s="118"/>
      <c r="AY85" s="187"/>
      <c r="AZ85" s="227" t="s">
        <v>721</v>
      </c>
      <c r="BA85" s="227" t="s">
        <v>93</v>
      </c>
    </row>
    <row r="86" spans="1:53" s="86" customFormat="1" ht="24" customHeight="1" x14ac:dyDescent="0.2">
      <c r="A86" s="244"/>
      <c r="B86" s="227"/>
      <c r="C86" s="227"/>
      <c r="D86" s="227"/>
      <c r="E86" s="227"/>
      <c r="F86" s="229"/>
      <c r="G86" s="229"/>
      <c r="H86" s="228"/>
      <c r="I86" s="229"/>
      <c r="J86" s="229"/>
      <c r="K86" s="229"/>
      <c r="L86" s="187">
        <v>2</v>
      </c>
      <c r="M86" s="135" t="s">
        <v>722</v>
      </c>
      <c r="N86" s="115" t="s">
        <v>67</v>
      </c>
      <c r="O86" s="175">
        <f t="shared" ref="O86:O89" si="176">IF(N86="Asignado",15,IF(N86="NO asignado",0))</f>
        <v>15</v>
      </c>
      <c r="P86" s="116" t="s">
        <v>68</v>
      </c>
      <c r="Q86" s="175">
        <f t="shared" ref="Q86:Q89" si="177">IF(P86="Adecuado",15,IF(P86="Inadecuado",0))</f>
        <v>15</v>
      </c>
      <c r="R86" s="116" t="s">
        <v>69</v>
      </c>
      <c r="S86" s="175">
        <f t="shared" ref="S86:S89" si="178">IF(R86="Oportuna",15,IF(R86="Inoportuna",0))</f>
        <v>15</v>
      </c>
      <c r="T86" s="116" t="s">
        <v>70</v>
      </c>
      <c r="U86" s="175">
        <f t="shared" ref="U86:U89" si="179">IF(T86="Prevenir",15,IF(T86="Detectar",10,IF(T86="No es un control",0)))</f>
        <v>15</v>
      </c>
      <c r="V86" s="116" t="s">
        <v>71</v>
      </c>
      <c r="W86" s="175">
        <f t="shared" ref="W86:W89" si="180">IF(V86="Confiable",15,IF(V86="No confiable",0))</f>
        <v>15</v>
      </c>
      <c r="X86" s="116" t="s">
        <v>72</v>
      </c>
      <c r="Y86" s="175">
        <f t="shared" ref="Y86:Y89" si="181">IF(X86="Se investigan oportunamente",15,IF(X86="No se investigan oportunamente",0))</f>
        <v>15</v>
      </c>
      <c r="Z86" s="116" t="s">
        <v>90</v>
      </c>
      <c r="AA86" s="175">
        <f t="shared" ref="AA86:AA89" si="182">IF(Z86="Completa",10,IF(Z86="Incompleta",5,IF(Z86="No existe",0)))</f>
        <v>10</v>
      </c>
      <c r="AB86" s="185">
        <f t="shared" ref="AB86:AB89" si="183">O86+Q86+S86+U86+W86+Y86+AA86</f>
        <v>100</v>
      </c>
      <c r="AC86" s="185" t="str">
        <f t="shared" ref="AC86:AC89" si="184">IF(AB86&lt;86,"Débil",(IF(AB86&lt;96,"Moderado","Fuerte")))</f>
        <v>Fuerte</v>
      </c>
      <c r="AD86" s="185" t="s">
        <v>74</v>
      </c>
      <c r="AE86" s="185" t="str">
        <f t="shared" ref="AE86:AE89" si="185">IF(OR(AND(AC86="Fuerte",AD86="Moderado"),AND(AC86="Moderado",AD86="Fuerte"),AND(AC86="Moderado",AD86="Moderado")),"Moderado",IF(OR(AND(AC86="Fuerte",AD86="Débil"),AND(AC86="Moderado",AD86="Débil"),AND(AC86="Débil")),"Débil",IF(AND(AC86="Fuerte",AD86="Fuerte"),"Fuerte")))</f>
        <v>Fuerte</v>
      </c>
      <c r="AF86" s="185" t="str">
        <f t="shared" ref="AF86:AF89" si="186">IF(AE86="Fuerte","100",IF(AE86="Moderado","50",IF(AE86="Débil","0")))</f>
        <v>100</v>
      </c>
      <c r="AG86" s="232"/>
      <c r="AH86" s="232"/>
      <c r="AI86" s="232"/>
      <c r="AJ86" s="232"/>
      <c r="AK86" s="239"/>
      <c r="AL86" s="231"/>
      <c r="AM86" s="229"/>
      <c r="AN86" s="243"/>
      <c r="AO86" s="242"/>
      <c r="AP86" s="231"/>
      <c r="AQ86" s="229"/>
      <c r="AR86" s="232"/>
      <c r="AS86" s="248"/>
      <c r="AT86" s="186"/>
      <c r="AU86" s="186"/>
      <c r="AV86" s="117"/>
      <c r="AW86" s="117"/>
      <c r="AX86" s="118"/>
      <c r="AY86" s="187"/>
      <c r="AZ86" s="227"/>
      <c r="BA86" s="227"/>
    </row>
    <row r="87" spans="1:53" s="86" customFormat="1" ht="24" customHeight="1" x14ac:dyDescent="0.25">
      <c r="A87" s="244"/>
      <c r="B87" s="227"/>
      <c r="C87" s="227"/>
      <c r="D87" s="227"/>
      <c r="E87" s="227"/>
      <c r="F87" s="229"/>
      <c r="G87" s="229"/>
      <c r="H87" s="228"/>
      <c r="I87" s="229"/>
      <c r="J87" s="229"/>
      <c r="K87" s="229"/>
      <c r="L87" s="187">
        <v>3</v>
      </c>
      <c r="M87" s="134"/>
      <c r="N87" s="115"/>
      <c r="O87" s="175" t="b">
        <f t="shared" si="176"/>
        <v>0</v>
      </c>
      <c r="P87" s="116"/>
      <c r="Q87" s="175" t="b">
        <f t="shared" si="177"/>
        <v>0</v>
      </c>
      <c r="R87" s="116"/>
      <c r="S87" s="175" t="b">
        <f t="shared" si="178"/>
        <v>0</v>
      </c>
      <c r="T87" s="116"/>
      <c r="U87" s="175" t="b">
        <f t="shared" si="179"/>
        <v>0</v>
      </c>
      <c r="V87" s="116"/>
      <c r="W87" s="175" t="b">
        <f t="shared" si="180"/>
        <v>0</v>
      </c>
      <c r="X87" s="116"/>
      <c r="Y87" s="175" t="b">
        <f t="shared" si="181"/>
        <v>0</v>
      </c>
      <c r="Z87" s="116"/>
      <c r="AA87" s="175" t="b">
        <f t="shared" si="182"/>
        <v>0</v>
      </c>
      <c r="AB87" s="185">
        <f t="shared" si="183"/>
        <v>0</v>
      </c>
      <c r="AC87" s="185" t="str">
        <f t="shared" si="184"/>
        <v>Débil</v>
      </c>
      <c r="AD87" s="185"/>
      <c r="AE87" s="185" t="str">
        <f t="shared" si="185"/>
        <v>Débil</v>
      </c>
      <c r="AF87" s="185" t="str">
        <f t="shared" si="186"/>
        <v>0</v>
      </c>
      <c r="AG87" s="232"/>
      <c r="AH87" s="232"/>
      <c r="AI87" s="232"/>
      <c r="AJ87" s="232"/>
      <c r="AK87" s="239"/>
      <c r="AL87" s="231"/>
      <c r="AM87" s="229"/>
      <c r="AN87" s="243"/>
      <c r="AO87" s="242"/>
      <c r="AP87" s="231"/>
      <c r="AQ87" s="229"/>
      <c r="AR87" s="232"/>
      <c r="AS87" s="248"/>
      <c r="AT87" s="186"/>
      <c r="AU87" s="187"/>
      <c r="AV87" s="117"/>
      <c r="AW87" s="117"/>
      <c r="AX87" s="186"/>
      <c r="AY87" s="187"/>
      <c r="AZ87" s="227"/>
      <c r="BA87" s="227"/>
    </row>
    <row r="88" spans="1:53" s="86" customFormat="1" ht="24" customHeight="1" x14ac:dyDescent="0.25">
      <c r="A88" s="244"/>
      <c r="B88" s="227"/>
      <c r="C88" s="227"/>
      <c r="D88" s="227"/>
      <c r="E88" s="227"/>
      <c r="F88" s="229"/>
      <c r="G88" s="229"/>
      <c r="H88" s="228"/>
      <c r="I88" s="229"/>
      <c r="J88" s="229"/>
      <c r="K88" s="229"/>
      <c r="L88" s="187">
        <v>4</v>
      </c>
      <c r="M88" s="134"/>
      <c r="N88" s="115"/>
      <c r="O88" s="175" t="b">
        <f t="shared" si="176"/>
        <v>0</v>
      </c>
      <c r="P88" s="116"/>
      <c r="Q88" s="175" t="b">
        <f t="shared" si="177"/>
        <v>0</v>
      </c>
      <c r="R88" s="116"/>
      <c r="S88" s="175" t="b">
        <f t="shared" si="178"/>
        <v>0</v>
      </c>
      <c r="T88" s="116"/>
      <c r="U88" s="175" t="b">
        <f t="shared" si="179"/>
        <v>0</v>
      </c>
      <c r="V88" s="116"/>
      <c r="W88" s="175" t="b">
        <f t="shared" si="180"/>
        <v>0</v>
      </c>
      <c r="X88" s="116"/>
      <c r="Y88" s="175" t="b">
        <f t="shared" si="181"/>
        <v>0</v>
      </c>
      <c r="Z88" s="116"/>
      <c r="AA88" s="175" t="b">
        <f t="shared" si="182"/>
        <v>0</v>
      </c>
      <c r="AB88" s="185">
        <f t="shared" si="183"/>
        <v>0</v>
      </c>
      <c r="AC88" s="185" t="str">
        <f t="shared" si="184"/>
        <v>Débil</v>
      </c>
      <c r="AD88" s="185"/>
      <c r="AE88" s="185" t="str">
        <f t="shared" si="185"/>
        <v>Débil</v>
      </c>
      <c r="AF88" s="185" t="str">
        <f t="shared" si="186"/>
        <v>0</v>
      </c>
      <c r="AG88" s="232"/>
      <c r="AH88" s="232"/>
      <c r="AI88" s="232"/>
      <c r="AJ88" s="232"/>
      <c r="AK88" s="239"/>
      <c r="AL88" s="231"/>
      <c r="AM88" s="229"/>
      <c r="AN88" s="243"/>
      <c r="AO88" s="242"/>
      <c r="AP88" s="231"/>
      <c r="AQ88" s="229"/>
      <c r="AR88" s="232"/>
      <c r="AS88" s="248"/>
      <c r="AT88" s="186"/>
      <c r="AU88" s="187"/>
      <c r="AV88" s="117"/>
      <c r="AW88" s="117"/>
      <c r="AX88" s="186"/>
      <c r="AY88" s="187"/>
      <c r="AZ88" s="227"/>
      <c r="BA88" s="227"/>
    </row>
    <row r="89" spans="1:53" s="86" customFormat="1" ht="24" customHeight="1" x14ac:dyDescent="0.25">
      <c r="A89" s="244"/>
      <c r="B89" s="227"/>
      <c r="C89" s="227"/>
      <c r="D89" s="227"/>
      <c r="E89" s="227"/>
      <c r="F89" s="229"/>
      <c r="G89" s="229"/>
      <c r="H89" s="228"/>
      <c r="I89" s="229"/>
      <c r="J89" s="229"/>
      <c r="K89" s="229"/>
      <c r="L89" s="187">
        <v>5</v>
      </c>
      <c r="M89" s="134"/>
      <c r="N89" s="115"/>
      <c r="O89" s="175" t="b">
        <f t="shared" si="176"/>
        <v>0</v>
      </c>
      <c r="P89" s="116"/>
      <c r="Q89" s="175" t="b">
        <f t="shared" si="177"/>
        <v>0</v>
      </c>
      <c r="R89" s="116"/>
      <c r="S89" s="175" t="b">
        <f t="shared" si="178"/>
        <v>0</v>
      </c>
      <c r="T89" s="116"/>
      <c r="U89" s="175" t="b">
        <f t="shared" si="179"/>
        <v>0</v>
      </c>
      <c r="V89" s="116"/>
      <c r="W89" s="175" t="b">
        <f t="shared" si="180"/>
        <v>0</v>
      </c>
      <c r="X89" s="116"/>
      <c r="Y89" s="175" t="b">
        <f t="shared" si="181"/>
        <v>0</v>
      </c>
      <c r="Z89" s="116"/>
      <c r="AA89" s="175" t="b">
        <f t="shared" si="182"/>
        <v>0</v>
      </c>
      <c r="AB89" s="185">
        <f t="shared" si="183"/>
        <v>0</v>
      </c>
      <c r="AC89" s="185" t="str">
        <f t="shared" si="184"/>
        <v>Débil</v>
      </c>
      <c r="AD89" s="185"/>
      <c r="AE89" s="185" t="str">
        <f t="shared" si="185"/>
        <v>Débil</v>
      </c>
      <c r="AF89" s="185" t="str">
        <f t="shared" si="186"/>
        <v>0</v>
      </c>
      <c r="AG89" s="232"/>
      <c r="AH89" s="232"/>
      <c r="AI89" s="232"/>
      <c r="AJ89" s="232"/>
      <c r="AK89" s="239"/>
      <c r="AL89" s="231"/>
      <c r="AM89" s="229"/>
      <c r="AN89" s="243"/>
      <c r="AO89" s="242"/>
      <c r="AP89" s="231"/>
      <c r="AQ89" s="229"/>
      <c r="AR89" s="232"/>
      <c r="AS89" s="248"/>
      <c r="AT89" s="186"/>
      <c r="AU89" s="187"/>
      <c r="AV89" s="117"/>
      <c r="AW89" s="117"/>
      <c r="AX89" s="186"/>
      <c r="AY89" s="187"/>
      <c r="AZ89" s="227"/>
      <c r="BA89" s="227"/>
    </row>
    <row r="90" spans="1:53" s="86" customFormat="1" ht="24" customHeight="1" x14ac:dyDescent="0.25">
      <c r="A90" s="244" t="s">
        <v>570</v>
      </c>
      <c r="B90" s="227" t="s">
        <v>724</v>
      </c>
      <c r="C90" s="227" t="s">
        <v>571</v>
      </c>
      <c r="D90" s="227" t="s">
        <v>572</v>
      </c>
      <c r="E90" s="227" t="s">
        <v>89</v>
      </c>
      <c r="F90" s="229" t="str">
        <f>IF(AND(E90=[7]calificación_impacto_corrupción!$B$2),[7]calificación_impacto_corrupción!$A$2,IF(AND(E90=[7]calificación_impacto_corrupción!$B$3),[7]calificación_impacto_corrupción!$A$3,IF(AND(E90=[7]calificación_impacto_corrupción!$B$4),[7]calificación_impacto_corrupción!$A$4,IF(AND(E90=[7]calificación_impacto_corrupción!$B$5),[7]calificación_impacto_corrupción!$A$5,IF(AND(E90=[7]calificación_impacto_corrupción!$B$6),[7]calificación_impacto_corrupción!$A$6,FALSE)))))</f>
        <v>Posible</v>
      </c>
      <c r="G90" s="229" t="str">
        <f>IF(AND(E90=[7]calificación_impacto_corrupción!$B$6),"20%",IF(AND(E90=[7]calificación_impacto_corrupción!$B$5),"40%",IF(AND(E90=[7]calificación_impacto_corrupción!$B$4),"60%",IF(AND(E90=[7]calificación_impacto_corrupción!$B$3),"80%",IF(AND(E90=[7]calificación_impacto_corrupción!$B$2),"100%",FALSE)))))</f>
        <v>60%</v>
      </c>
      <c r="H90" s="228" t="s">
        <v>65</v>
      </c>
      <c r="I90" s="229" t="str">
        <f>IF(AND(H90=[13]DESPLEGABLES!$A$19),"Leve",IF(AND(H90=[13]DESPLEGABLES!$A$20),"Menor",IF(AND(H90=[13]DESPLEGABLES!$A$21),"Moderado",IF(AND(H90=[13]DESPLEGABLES!$A$22),"Mayor",IF(AND(H90=[13]DESPLEGABLES!$A$23),"Catastrófico",IF(AND(H90=[13]DESPLEGABLES!$A$25),"Leve",IF(AND(H90=[13]DESPLEGABLES!$A$26),"Menor",IF(AND(H90=[13]DESPLEGABLES!$A$27),"Moderado",IF(AND(H90=[13]DESPLEGABLES!$A$28),"Mayor",IF(AND(H90=[13]DESPLEGABLES!$A$29),"Catastrófico",IF(AND(H90=[13]DESPLEGABLES!$A$31),"Moderado",IF(AND(H90=[13]DESPLEGABLES!$A$32),"Mayor",IF(AND(H90=[13]DESPLEGABLES!$A$33),"Catastrófico","")))))))))))))</f>
        <v>Catastrófico</v>
      </c>
      <c r="J90" s="229" t="str">
        <f>IF(AND(I90="Leve"),"20%",IF(AND(I90="Menor"),"40%",IF(AND(I90="Moderado"),"60%",IF(AND(I90="Mayor"),"80%",IF(AND(I90="Catastrófico"),"100%","")))))</f>
        <v>100%</v>
      </c>
      <c r="K90" s="229" t="str">
        <f>IF(AND(G90&lt;="40%",J90="20%"),"Bajo",IF(AND(G90="60%",J90="20%"),"Moderado",IF(AND(G90="80%",J90="20%"),"Moderado",IF(AND(G90="100%",J90="20%"),"Alto",IF(AND(G90="20%",J90="40%"),"Bajo",IF(AND(G90="40%",J90="40%"),"Moderado",IF(AND(G90="60%",J90="40%"),"Moderado",IF(AND(G90="80%",J90="40%"),"Moderado",IF(AND(G90="100%",J90="40%"),"Alto",IF(AND(G90="20%",J90="60%"),"Moderado",IF(AND(G90="40%",J90="60%"),"Moderado",IF(AND(G90="60%",J90="60%"),"Moderado",IF(AND(G90="80%",J90="60%"),"Alto",IF(AND(G90="100%",J90="60%"),"Alto",IF(AND(G90="20%",J90="80%"),"Alto",IF(AND(G90="40%",J90="80%"),"Alto",IF(AND(G90="60%",J90="80%"),"Alto",IF(AND(G90="80%",J90="80%"),"Alto",IF(AND(G90="100%",J90="80%"),"Alto",IF(AND(G90="20%",J90="100%"),"Extremo",IF(AND(G90="40%",J90="100%"),"Extremo",IF(AND(G90="60%",J90="100%"),"Extremo",IF(AND(G90="80%",J90="100%"),"Moderado",IF(AND(G90="100%",J90="100%"),"Extremo",""))))))))))))))))))))))))</f>
        <v>Extremo</v>
      </c>
      <c r="L90" s="187">
        <v>1</v>
      </c>
      <c r="M90" s="661" t="s">
        <v>573</v>
      </c>
      <c r="N90" s="115" t="s">
        <v>67</v>
      </c>
      <c r="O90" s="175">
        <f t="shared" ref="O90:O99" si="187">IF(N90="Asignado",15,IF(N90="NO asignado",0))</f>
        <v>15</v>
      </c>
      <c r="P90" s="116" t="s">
        <v>68</v>
      </c>
      <c r="Q90" s="175">
        <f t="shared" ref="Q90:Q99" si="188">IF(P90="Adecuado",15,IF(P90="Inadecuado",0))</f>
        <v>15</v>
      </c>
      <c r="R90" s="116" t="s">
        <v>69</v>
      </c>
      <c r="S90" s="175">
        <f t="shared" ref="S90:S99" si="189">IF(R90="Oportuna",15,IF(R90="Inoportuna",0))</f>
        <v>15</v>
      </c>
      <c r="T90" s="116" t="s">
        <v>123</v>
      </c>
      <c r="U90" s="175">
        <f t="shared" ref="U90:U99" si="190">IF(T90="Prevenir",15,IF(T90="Detectar",10,IF(T90="No es un control",0)))</f>
        <v>0</v>
      </c>
      <c r="V90" s="116" t="s">
        <v>71</v>
      </c>
      <c r="W90" s="175">
        <f t="shared" ref="W90:W99" si="191">IF(V90="Confiable",15,IF(V90="No confiable",0))</f>
        <v>15</v>
      </c>
      <c r="X90" s="116" t="s">
        <v>72</v>
      </c>
      <c r="Y90" s="175">
        <f t="shared" ref="Y90:Y99" si="192">IF(X90="Se investigan oportunamente",15,IF(X90="No se investigan oportunamente",0))</f>
        <v>15</v>
      </c>
      <c r="Z90" s="116" t="s">
        <v>90</v>
      </c>
      <c r="AA90" s="175">
        <f>IF(Z90="Completa",10,IF(Z90="Incompleta",5,IF(Z90="No existe",0)))</f>
        <v>10</v>
      </c>
      <c r="AB90" s="185">
        <f>O90+Q90+S90+U90+W90+Y90+AA90</f>
        <v>85</v>
      </c>
      <c r="AC90" s="185" t="str">
        <f>IF(AB90&lt;86,"Débil",(IF(AB90&lt;96,"Moderado","Fuerte")))</f>
        <v>Débil</v>
      </c>
      <c r="AD90" s="185" t="s">
        <v>74</v>
      </c>
      <c r="AE90" s="185" t="str">
        <f>IF(OR(AND(AC90="Fuerte",AD90="Moderado"),AND(AC90="Moderado",AD90="Fuerte"),AND(AC90="Moderado",AD90="Moderado")),"Moderado",IF(OR(AND(AC90="Fuerte",AD90="Débil"),AND(AC90="Moderado",AD90="Débil"),AND(AC90="Débil")),"Débil",IF(AND(AC90="Fuerte",AD90="Fuerte"),"Fuerte")))</f>
        <v>Débil</v>
      </c>
      <c r="AF90" s="185" t="str">
        <f>IF(AE90="Fuerte","100",IF(AE90="Moderado","50",IF(AE90="Débil","0")))</f>
        <v>0</v>
      </c>
      <c r="AG90" s="232">
        <v>2</v>
      </c>
      <c r="AH90" s="232">
        <f>(AF90+AF91+AF92+AF93+AF94)/AG90</f>
        <v>0</v>
      </c>
      <c r="AI90" s="232" t="str">
        <f>IF(AH90&lt;50,"Débil",IF(AH90&lt;=99,"Moderado",IF(AH90=100,"Fuerte",IF(AH90="","ERROR"))))</f>
        <v>Débil</v>
      </c>
      <c r="AJ90" s="232" t="s">
        <v>75</v>
      </c>
      <c r="AK90" s="239">
        <f>IF(AI90="Débil",0,IF(AND(AI90="Moderado",AJ90="Directamente"),20%,IF(AND(AI90="Moderado",AJ90="No disminuye"),0,IF(AND(AI90="Fuerte",AJ90="Directamente"),40%,IF(AND(AI90="Fuerte",AJ90="No disminuye"),0)))))</f>
        <v>0</v>
      </c>
      <c r="AL90" s="230">
        <f>AK90-G90</f>
        <v>-0.6</v>
      </c>
      <c r="AM90" s="229" t="str">
        <f>IF(AL90=100%,"Casi Seguro",IF(AL90=80,"Probable",IF(AL90=60%,"Posible",IF(AL90=40%,"Improbable",IF(AL90=20%,"Rara Vez",IF(AL90=0,"Rara Vez",IF(AL90&lt;0,"Rara Vez")))))))</f>
        <v>Rara Vez</v>
      </c>
      <c r="AN90" s="243" t="s">
        <v>96</v>
      </c>
      <c r="AO90" s="242">
        <f>IF(AI90="Débil",0,IF(AND(AI90="Moderado",AN90="Directamente"),20%,IF(AND(AI90="Moderado",AN90="Indirectamente"),0,IF(AND(AI90="Moderado",AN90="No disminuye"),0,IF(AND(AI90="Fuerte",AN90="Directamente"),40%,IF(AND(AI90="Fuerte",AN90="Indirectamente"),20%,IF(AND(AI90="Fuerte",AN90="No disminuye"),0)))))))</f>
        <v>0</v>
      </c>
      <c r="AP90" s="230">
        <f>J90-AO90</f>
        <v>1</v>
      </c>
      <c r="AQ90" s="229" t="str">
        <f>IF(AP90=100%,"Catastrófico",IF(AP90=80%,"Mayor",IF(AP90=60%,"Moderado",IF(AP90&lt;=60%,"Moderado"))))</f>
        <v>Catastrófico</v>
      </c>
      <c r="AR90" s="232" t="str">
        <f>IF(OR(AND(AQ90="Moderado",AM90="Rara Vez"),AND(AQ90="Moderado",AM90="Improbable")),"Moderado",IF(OR(AND(AQ90="Mayor",AM90="Improbable"),AND(AQ90="Mayor",AM90="Rara Vez"),AND(AQ90="Moderado",AM90="Probable"),AND(AQ90="Moderado",AM90="Posible")),"Alto",IF(OR(AND(AQ90="Moderado",AM90="Casi Seguro"),AND(AQ90="Mayor",AM90="Posible"),AND(AQ90="Mayor",AM90="Probable"),AND(AQ90="Mayor",AM90="Casi Seguro")),"Extremo",IF(AQ90="Catastrófico","Extremo"))))</f>
        <v>Extremo</v>
      </c>
      <c r="AS90" s="248" t="s">
        <v>77</v>
      </c>
      <c r="AT90" s="113"/>
      <c r="AU90" s="186"/>
      <c r="AV90" s="117"/>
      <c r="AW90" s="117"/>
      <c r="AX90" s="186"/>
      <c r="AY90" s="187"/>
      <c r="AZ90" s="227" t="s">
        <v>574</v>
      </c>
      <c r="BA90" s="227" t="s">
        <v>93</v>
      </c>
    </row>
    <row r="91" spans="1:53" s="86" customFormat="1" ht="24" customHeight="1" x14ac:dyDescent="0.25">
      <c r="A91" s="244"/>
      <c r="B91" s="227"/>
      <c r="C91" s="227"/>
      <c r="D91" s="227"/>
      <c r="E91" s="227"/>
      <c r="F91" s="229"/>
      <c r="G91" s="229"/>
      <c r="H91" s="228"/>
      <c r="I91" s="229"/>
      <c r="J91" s="229"/>
      <c r="K91" s="229"/>
      <c r="L91" s="187">
        <v>2</v>
      </c>
      <c r="M91" s="661" t="s">
        <v>575</v>
      </c>
      <c r="N91" s="115" t="s">
        <v>67</v>
      </c>
      <c r="O91" s="175">
        <f t="shared" si="187"/>
        <v>15</v>
      </c>
      <c r="P91" s="116" t="s">
        <v>68</v>
      </c>
      <c r="Q91" s="175">
        <f t="shared" si="188"/>
        <v>15</v>
      </c>
      <c r="R91" s="116" t="s">
        <v>69</v>
      </c>
      <c r="S91" s="175">
        <f t="shared" si="189"/>
        <v>15</v>
      </c>
      <c r="T91" s="116" t="s">
        <v>123</v>
      </c>
      <c r="U91" s="175">
        <f t="shared" si="190"/>
        <v>0</v>
      </c>
      <c r="V91" s="116" t="s">
        <v>71</v>
      </c>
      <c r="W91" s="175">
        <f t="shared" si="191"/>
        <v>15</v>
      </c>
      <c r="X91" s="116" t="s">
        <v>72</v>
      </c>
      <c r="Y91" s="175">
        <f t="shared" si="192"/>
        <v>15</v>
      </c>
      <c r="Z91" s="116" t="s">
        <v>90</v>
      </c>
      <c r="AA91" s="175">
        <f t="shared" ref="AA91:AA94" si="193">IF(Z91="Completa",10,IF(Z91="Incompleta",5,IF(Z91="No existe",0)))</f>
        <v>10</v>
      </c>
      <c r="AB91" s="185">
        <f t="shared" ref="AB91:AB94" si="194">O91+Q91+S91+U91+W91+Y91+AA91</f>
        <v>85</v>
      </c>
      <c r="AC91" s="185" t="str">
        <f t="shared" ref="AC91:AC94" si="195">IF(AB91&lt;86,"Débil",(IF(AB91&lt;96,"Moderado","Fuerte")))</f>
        <v>Débil</v>
      </c>
      <c r="AD91" s="185" t="s">
        <v>74</v>
      </c>
      <c r="AE91" s="185" t="str">
        <f t="shared" ref="AE91:AE94" si="196">IF(OR(AND(AC91="Fuerte",AD91="Moderado"),AND(AC91="Moderado",AD91="Fuerte"),AND(AC91="Moderado",AD91="Moderado")),"Moderado",IF(OR(AND(AC91="Fuerte",AD91="Débil"),AND(AC91="Moderado",AD91="Débil"),AND(AC91="Débil")),"Débil",IF(AND(AC91="Fuerte",AD91="Fuerte"),"Fuerte")))</f>
        <v>Débil</v>
      </c>
      <c r="AF91" s="185" t="str">
        <f t="shared" ref="AF91:AF94" si="197">IF(AE91="Fuerte","100",IF(AE91="Moderado","50",IF(AE91="Débil","0")))</f>
        <v>0</v>
      </c>
      <c r="AG91" s="232"/>
      <c r="AH91" s="232"/>
      <c r="AI91" s="232"/>
      <c r="AJ91" s="232"/>
      <c r="AK91" s="239"/>
      <c r="AL91" s="231"/>
      <c r="AM91" s="229"/>
      <c r="AN91" s="243"/>
      <c r="AO91" s="242"/>
      <c r="AP91" s="231"/>
      <c r="AQ91" s="229"/>
      <c r="AR91" s="232"/>
      <c r="AS91" s="248"/>
      <c r="AT91" s="113"/>
      <c r="AU91" s="186"/>
      <c r="AV91" s="117"/>
      <c r="AW91" s="117"/>
      <c r="AX91" s="186"/>
      <c r="AY91" s="187"/>
      <c r="AZ91" s="227"/>
      <c r="BA91" s="227"/>
    </row>
    <row r="92" spans="1:53" s="86" customFormat="1" ht="24" customHeight="1" x14ac:dyDescent="0.25">
      <c r="A92" s="244"/>
      <c r="B92" s="227"/>
      <c r="C92" s="227"/>
      <c r="D92" s="227"/>
      <c r="E92" s="227"/>
      <c r="F92" s="229"/>
      <c r="G92" s="229"/>
      <c r="H92" s="228"/>
      <c r="I92" s="229"/>
      <c r="J92" s="229"/>
      <c r="K92" s="229"/>
      <c r="L92" s="187">
        <v>3</v>
      </c>
      <c r="M92" s="661"/>
      <c r="N92" s="115"/>
      <c r="O92" s="175" t="b">
        <f t="shared" si="187"/>
        <v>0</v>
      </c>
      <c r="P92" s="116"/>
      <c r="Q92" s="175" t="b">
        <f t="shared" si="188"/>
        <v>0</v>
      </c>
      <c r="R92" s="116"/>
      <c r="S92" s="175" t="b">
        <f t="shared" si="189"/>
        <v>0</v>
      </c>
      <c r="T92" s="116"/>
      <c r="U92" s="175" t="b">
        <f t="shared" si="190"/>
        <v>0</v>
      </c>
      <c r="V92" s="116"/>
      <c r="W92" s="175" t="b">
        <f t="shared" si="191"/>
        <v>0</v>
      </c>
      <c r="X92" s="116"/>
      <c r="Y92" s="175" t="b">
        <f t="shared" si="192"/>
        <v>0</v>
      </c>
      <c r="Z92" s="116"/>
      <c r="AA92" s="175" t="b">
        <f t="shared" si="193"/>
        <v>0</v>
      </c>
      <c r="AB92" s="185">
        <f t="shared" si="194"/>
        <v>0</v>
      </c>
      <c r="AC92" s="185" t="str">
        <f t="shared" si="195"/>
        <v>Débil</v>
      </c>
      <c r="AD92" s="185"/>
      <c r="AE92" s="185" t="str">
        <f t="shared" si="196"/>
        <v>Débil</v>
      </c>
      <c r="AF92" s="185" t="str">
        <f t="shared" si="197"/>
        <v>0</v>
      </c>
      <c r="AG92" s="232"/>
      <c r="AH92" s="232"/>
      <c r="AI92" s="232"/>
      <c r="AJ92" s="232"/>
      <c r="AK92" s="239"/>
      <c r="AL92" s="231"/>
      <c r="AM92" s="229"/>
      <c r="AN92" s="243"/>
      <c r="AO92" s="242"/>
      <c r="AP92" s="231"/>
      <c r="AQ92" s="229"/>
      <c r="AR92" s="232"/>
      <c r="AS92" s="248"/>
      <c r="AT92" s="186"/>
      <c r="AU92" s="187"/>
      <c r="AV92" s="117"/>
      <c r="AW92" s="117"/>
      <c r="AX92" s="186"/>
      <c r="AY92" s="187"/>
      <c r="AZ92" s="227"/>
      <c r="BA92" s="227"/>
    </row>
    <row r="93" spans="1:53" s="86" customFormat="1" ht="24" customHeight="1" x14ac:dyDescent="0.25">
      <c r="A93" s="244"/>
      <c r="B93" s="227"/>
      <c r="C93" s="227"/>
      <c r="D93" s="227"/>
      <c r="E93" s="227"/>
      <c r="F93" s="229"/>
      <c r="G93" s="229"/>
      <c r="H93" s="228"/>
      <c r="I93" s="229"/>
      <c r="J93" s="229"/>
      <c r="K93" s="229"/>
      <c r="L93" s="187">
        <v>4</v>
      </c>
      <c r="M93" s="134"/>
      <c r="N93" s="115"/>
      <c r="O93" s="175" t="b">
        <f t="shared" si="187"/>
        <v>0</v>
      </c>
      <c r="P93" s="116"/>
      <c r="Q93" s="175" t="b">
        <f t="shared" si="188"/>
        <v>0</v>
      </c>
      <c r="R93" s="116"/>
      <c r="S93" s="175" t="b">
        <f t="shared" si="189"/>
        <v>0</v>
      </c>
      <c r="T93" s="116"/>
      <c r="U93" s="175" t="b">
        <f t="shared" si="190"/>
        <v>0</v>
      </c>
      <c r="V93" s="116"/>
      <c r="W93" s="175" t="b">
        <f t="shared" si="191"/>
        <v>0</v>
      </c>
      <c r="X93" s="116"/>
      <c r="Y93" s="175" t="b">
        <f t="shared" si="192"/>
        <v>0</v>
      </c>
      <c r="Z93" s="116"/>
      <c r="AA93" s="175" t="b">
        <f t="shared" si="193"/>
        <v>0</v>
      </c>
      <c r="AB93" s="185">
        <f t="shared" si="194"/>
        <v>0</v>
      </c>
      <c r="AC93" s="185" t="str">
        <f t="shared" si="195"/>
        <v>Débil</v>
      </c>
      <c r="AD93" s="185"/>
      <c r="AE93" s="185" t="str">
        <f t="shared" si="196"/>
        <v>Débil</v>
      </c>
      <c r="AF93" s="185" t="str">
        <f t="shared" si="197"/>
        <v>0</v>
      </c>
      <c r="AG93" s="232"/>
      <c r="AH93" s="232"/>
      <c r="AI93" s="232"/>
      <c r="AJ93" s="232"/>
      <c r="AK93" s="239"/>
      <c r="AL93" s="231"/>
      <c r="AM93" s="229"/>
      <c r="AN93" s="243"/>
      <c r="AO93" s="242"/>
      <c r="AP93" s="231"/>
      <c r="AQ93" s="229"/>
      <c r="AR93" s="232"/>
      <c r="AS93" s="248"/>
      <c r="AT93" s="186"/>
      <c r="AU93" s="187"/>
      <c r="AV93" s="117"/>
      <c r="AW93" s="117"/>
      <c r="AX93" s="186"/>
      <c r="AY93" s="187"/>
      <c r="AZ93" s="227"/>
      <c r="BA93" s="227"/>
    </row>
    <row r="94" spans="1:53" s="86" customFormat="1" ht="24" customHeight="1" x14ac:dyDescent="0.25">
      <c r="A94" s="244"/>
      <c r="B94" s="227"/>
      <c r="C94" s="227"/>
      <c r="D94" s="227"/>
      <c r="E94" s="227"/>
      <c r="F94" s="229"/>
      <c r="G94" s="229"/>
      <c r="H94" s="228"/>
      <c r="I94" s="229"/>
      <c r="J94" s="229"/>
      <c r="K94" s="229"/>
      <c r="L94" s="187">
        <v>5</v>
      </c>
      <c r="M94" s="134"/>
      <c r="N94" s="115"/>
      <c r="O94" s="175" t="b">
        <f t="shared" si="187"/>
        <v>0</v>
      </c>
      <c r="P94" s="116"/>
      <c r="Q94" s="175" t="b">
        <f t="shared" si="188"/>
        <v>0</v>
      </c>
      <c r="R94" s="116"/>
      <c r="S94" s="175" t="b">
        <f t="shared" si="189"/>
        <v>0</v>
      </c>
      <c r="T94" s="116"/>
      <c r="U94" s="175" t="b">
        <f t="shared" si="190"/>
        <v>0</v>
      </c>
      <c r="V94" s="116"/>
      <c r="W94" s="175" t="b">
        <f t="shared" si="191"/>
        <v>0</v>
      </c>
      <c r="X94" s="116"/>
      <c r="Y94" s="175" t="b">
        <f t="shared" si="192"/>
        <v>0</v>
      </c>
      <c r="Z94" s="116"/>
      <c r="AA94" s="175" t="b">
        <f t="shared" si="193"/>
        <v>0</v>
      </c>
      <c r="AB94" s="185">
        <f t="shared" si="194"/>
        <v>0</v>
      </c>
      <c r="AC94" s="185" t="str">
        <f t="shared" si="195"/>
        <v>Débil</v>
      </c>
      <c r="AD94" s="185"/>
      <c r="AE94" s="185" t="str">
        <f t="shared" si="196"/>
        <v>Débil</v>
      </c>
      <c r="AF94" s="185" t="str">
        <f t="shared" si="197"/>
        <v>0</v>
      </c>
      <c r="AG94" s="232"/>
      <c r="AH94" s="232"/>
      <c r="AI94" s="232"/>
      <c r="AJ94" s="232"/>
      <c r="AK94" s="239"/>
      <c r="AL94" s="231"/>
      <c r="AM94" s="229"/>
      <c r="AN94" s="243"/>
      <c r="AO94" s="242"/>
      <c r="AP94" s="231"/>
      <c r="AQ94" s="229"/>
      <c r="AR94" s="232"/>
      <c r="AS94" s="248"/>
      <c r="AT94" s="186"/>
      <c r="AU94" s="187"/>
      <c r="AV94" s="117"/>
      <c r="AW94" s="117"/>
      <c r="AX94" s="186"/>
      <c r="AY94" s="187"/>
      <c r="AZ94" s="227"/>
      <c r="BA94" s="227"/>
    </row>
    <row r="95" spans="1:53" s="86" customFormat="1" ht="24" customHeight="1" x14ac:dyDescent="0.25">
      <c r="A95" s="244" t="s">
        <v>576</v>
      </c>
      <c r="B95" s="227" t="s">
        <v>724</v>
      </c>
      <c r="C95" s="227" t="s">
        <v>577</v>
      </c>
      <c r="D95" s="227" t="s">
        <v>578</v>
      </c>
      <c r="E95" s="227" t="s">
        <v>89</v>
      </c>
      <c r="F95" s="229" t="str">
        <f>IF(AND(E95=[7]calificación_impacto_corrupción!$B$2),[7]calificación_impacto_corrupción!$A$2,IF(AND(E95=[7]calificación_impacto_corrupción!$B$3),[7]calificación_impacto_corrupción!$A$3,IF(AND(E95=[7]calificación_impacto_corrupción!$B$4),[7]calificación_impacto_corrupción!$A$4,IF(AND(E95=[7]calificación_impacto_corrupción!$B$5),[7]calificación_impacto_corrupción!$A$5,IF(AND(E95=[7]calificación_impacto_corrupción!$B$6),[7]calificación_impacto_corrupción!$A$6,FALSE)))))</f>
        <v>Posible</v>
      </c>
      <c r="G95" s="229" t="str">
        <f>IF(AND(E95=[7]calificación_impacto_corrupción!$B$6),"20%",IF(AND(E95=[7]calificación_impacto_corrupción!$B$5),"40%",IF(AND(E95=[7]calificación_impacto_corrupción!$B$4),"60%",IF(AND(E95=[7]calificación_impacto_corrupción!$B$3),"80%",IF(AND(E95=[7]calificación_impacto_corrupción!$B$2),"100%",FALSE)))))</f>
        <v>60%</v>
      </c>
      <c r="H95" s="228" t="s">
        <v>65</v>
      </c>
      <c r="I95" s="229" t="str">
        <f>IF(AND(H95=[13]DESPLEGABLES!$A$19),"Leve",IF(AND(H95=[13]DESPLEGABLES!$A$20),"Menor",IF(AND(H95=[13]DESPLEGABLES!$A$21),"Moderado",IF(AND(H95=[13]DESPLEGABLES!$A$22),"Mayor",IF(AND(H95=[13]DESPLEGABLES!$A$23),"Catastrófico",IF(AND(H95=[13]DESPLEGABLES!$A$25),"Leve",IF(AND(H95=[13]DESPLEGABLES!$A$26),"Menor",IF(AND(H95=[13]DESPLEGABLES!$A$27),"Moderado",IF(AND(H95=[13]DESPLEGABLES!$A$28),"Mayor",IF(AND(H95=[13]DESPLEGABLES!$A$29),"Catastrófico",IF(AND(H95=[13]DESPLEGABLES!$A$31),"Moderado",IF(AND(H95=[13]DESPLEGABLES!$A$32),"Mayor",IF(AND(H95=[13]DESPLEGABLES!$A$33),"Catastrófico","")))))))))))))</f>
        <v>Catastrófico</v>
      </c>
      <c r="J95" s="229" t="str">
        <f>IF(AND(I95="Leve"),"20%",IF(AND(I95="Menor"),"40%",IF(AND(I95="Moderado"),"60%",IF(AND(I95="Mayor"),"80%",IF(AND(I95="Catastrófico"),"100%","")))))</f>
        <v>100%</v>
      </c>
      <c r="K95" s="229" t="str">
        <f>IF(AND(G95&lt;="40%",J95="20%"),"Bajo",IF(AND(G95="60%",J95="20%"),"Moderado",IF(AND(G95="80%",J95="20%"),"Moderado",IF(AND(G95="100%",J95="20%"),"Alto",IF(AND(G95="20%",J95="40%"),"Bajo",IF(AND(G95="40%",J95="40%"),"Moderado",IF(AND(G95="60%",J95="40%"),"Moderado",IF(AND(G95="80%",J95="40%"),"Moderado",IF(AND(G95="100%",J95="40%"),"Alto",IF(AND(G95="20%",J95="60%"),"Moderado",IF(AND(G95="40%",J95="60%"),"Moderado",IF(AND(G95="60%",J95="60%"),"Moderado",IF(AND(G95="80%",J95="60%"),"Alto",IF(AND(G95="100%",J95="60%"),"Alto",IF(AND(G95="20%",J95="80%"),"Alto",IF(AND(G95="40%",J95="80%"),"Alto",IF(AND(G95="60%",J95="80%"),"Alto",IF(AND(G95="80%",J95="80%"),"Alto",IF(AND(G95="100%",J95="80%"),"Alto",IF(AND(G95="20%",J95="100%"),"Extremo",IF(AND(G95="40%",J95="100%"),"Extremo",IF(AND(G95="60%",J95="100%"),"Extremo",IF(AND(G95="80%",J95="100%"),"Moderado",IF(AND(G95="100%",J95="100%"),"Extremo",""))))))))))))))))))))))))</f>
        <v>Extremo</v>
      </c>
      <c r="L95" s="187">
        <v>1</v>
      </c>
      <c r="M95" s="661" t="s">
        <v>579</v>
      </c>
      <c r="N95" s="115" t="s">
        <v>67</v>
      </c>
      <c r="O95" s="175">
        <f t="shared" si="187"/>
        <v>15</v>
      </c>
      <c r="P95" s="116" t="s">
        <v>68</v>
      </c>
      <c r="Q95" s="175">
        <f t="shared" si="188"/>
        <v>15</v>
      </c>
      <c r="R95" s="116" t="s">
        <v>69</v>
      </c>
      <c r="S95" s="175">
        <f t="shared" si="189"/>
        <v>15</v>
      </c>
      <c r="T95" s="116" t="s">
        <v>123</v>
      </c>
      <c r="U95" s="175">
        <f t="shared" si="190"/>
        <v>0</v>
      </c>
      <c r="V95" s="116" t="s">
        <v>71</v>
      </c>
      <c r="W95" s="175">
        <f t="shared" si="191"/>
        <v>15</v>
      </c>
      <c r="X95" s="116" t="s">
        <v>72</v>
      </c>
      <c r="Y95" s="175">
        <f t="shared" si="192"/>
        <v>15</v>
      </c>
      <c r="Z95" s="116" t="s">
        <v>90</v>
      </c>
      <c r="AA95" s="175">
        <f>IF(Z95="Completa",10,IF(Z95="Incompleta",5,IF(Z95="No existe",0)))</f>
        <v>10</v>
      </c>
      <c r="AB95" s="185">
        <f>O95+Q95+S95+U95+W95+Y95+AA95</f>
        <v>85</v>
      </c>
      <c r="AC95" s="185" t="str">
        <f>IF(AB95&lt;86,"Débil",(IF(AB95&lt;96,"Moderado","Fuerte")))</f>
        <v>Débil</v>
      </c>
      <c r="AD95" s="185" t="s">
        <v>74</v>
      </c>
      <c r="AE95" s="185" t="str">
        <f>IF(OR(AND(AC95="Fuerte",AD95="Moderado"),AND(AC95="Moderado",AD95="Fuerte"),AND(AC95="Moderado",AD95="Moderado")),"Moderado",IF(OR(AND(AC95="Fuerte",AD95="Débil"),AND(AC95="Moderado",AD95="Débil"),AND(AC95="Débil")),"Débil",IF(AND(AC95="Fuerte",AD95="Fuerte"),"Fuerte")))</f>
        <v>Débil</v>
      </c>
      <c r="AF95" s="185" t="str">
        <f>IF(AE95="Fuerte","100",IF(AE95="Moderado","50",IF(AE95="Débil","0")))</f>
        <v>0</v>
      </c>
      <c r="AG95" s="232">
        <v>3</v>
      </c>
      <c r="AH95" s="232">
        <f>(AF95+AF96+AF97+AF98+AF99)/AG95</f>
        <v>0</v>
      </c>
      <c r="AI95" s="232" t="str">
        <f>IF(AH95&lt;50,"Débil",IF(AH95&lt;=99,"Moderado",IF(AH95=100,"Fuerte",IF(AH95="","ERROR"))))</f>
        <v>Débil</v>
      </c>
      <c r="AJ95" s="232" t="s">
        <v>75</v>
      </c>
      <c r="AK95" s="239">
        <f>IF(AI95="Débil",0,IF(AND(AI95="Moderado",AJ95="Directamente"),20%,IF(AND(AI95="Moderado",AJ95="No disminuye"),0,IF(AND(AI95="Fuerte",AJ95="Directamente"),40%,IF(AND(AI95="Fuerte",AJ95="No disminuye"),0)))))</f>
        <v>0</v>
      </c>
      <c r="AL95" s="230">
        <f>AK95-G95</f>
        <v>-0.6</v>
      </c>
      <c r="AM95" s="229" t="str">
        <f>IF(AL95=100%,"Casi Seguro",IF(AL95=80,"Probable",IF(AL95=60%,"Posible",IF(AL95=40%,"Improbable",IF(AL95=20%,"Rara Vez",IF(AL95=0,"Rara Vez",IF(AL95&lt;0,"Rara Vez")))))))</f>
        <v>Rara Vez</v>
      </c>
      <c r="AN95" s="243" t="s">
        <v>96</v>
      </c>
      <c r="AO95" s="242">
        <f>IF(AI95="Débil",0,IF(AND(AI95="Moderado",AN95="Directamente"),20%,IF(AND(AI95="Moderado",AN95="Indirectamente"),0,IF(AND(AI95="Moderado",AN95="No disminuye"),0,IF(AND(AI95="Fuerte",AN95="Directamente"),40%,IF(AND(AI95="Fuerte",AN95="Indirectamente"),20%,IF(AND(AI95="Fuerte",AN95="No disminuye"),0)))))))</f>
        <v>0</v>
      </c>
      <c r="AP95" s="230">
        <f>J95-AO95</f>
        <v>1</v>
      </c>
      <c r="AQ95" s="229" t="str">
        <f>IF(AP95=100%,"Catastrófico",IF(AP95=80%,"Mayor",IF(AP95=60%,"Moderado",IF(AP95&lt;=60%,"Moderado"))))</f>
        <v>Catastrófico</v>
      </c>
      <c r="AR95" s="232" t="str">
        <f>IF(OR(AND(AQ95="Moderado",AM95="Rara Vez"),AND(AQ95="Moderado",AM95="Improbable")),"Moderado",IF(OR(AND(AQ95="Mayor",AM95="Improbable"),AND(AQ95="Mayor",AM95="Rara Vez"),AND(AQ95="Moderado",AM95="Probable"),AND(AQ95="Moderado",AM95="Posible")),"Alto",IF(OR(AND(AQ95="Moderado",AM95="Casi Seguro"),AND(AQ95="Mayor",AM95="Posible"),AND(AQ95="Mayor",AM95="Probable"),AND(AQ95="Mayor",AM95="Casi Seguro")),"Extremo",IF(AQ95="Catastrófico","Extremo"))))</f>
        <v>Extremo</v>
      </c>
      <c r="AS95" s="248" t="s">
        <v>77</v>
      </c>
      <c r="AT95" s="113"/>
      <c r="AU95" s="186"/>
      <c r="AV95" s="117"/>
      <c r="AW95" s="117"/>
      <c r="AX95" s="186"/>
      <c r="AY95" s="187"/>
      <c r="AZ95" s="227" t="s">
        <v>574</v>
      </c>
      <c r="BA95" s="227" t="s">
        <v>93</v>
      </c>
    </row>
    <row r="96" spans="1:53" s="86" customFormat="1" ht="24" customHeight="1" x14ac:dyDescent="0.25">
      <c r="A96" s="244"/>
      <c r="B96" s="227"/>
      <c r="C96" s="227"/>
      <c r="D96" s="227"/>
      <c r="E96" s="227"/>
      <c r="F96" s="229"/>
      <c r="G96" s="229"/>
      <c r="H96" s="228"/>
      <c r="I96" s="229"/>
      <c r="J96" s="229"/>
      <c r="K96" s="229"/>
      <c r="L96" s="187">
        <v>2</v>
      </c>
      <c r="M96" s="661" t="s">
        <v>580</v>
      </c>
      <c r="N96" s="115" t="s">
        <v>67</v>
      </c>
      <c r="O96" s="175">
        <f t="shared" si="187"/>
        <v>15</v>
      </c>
      <c r="P96" s="116" t="s">
        <v>68</v>
      </c>
      <c r="Q96" s="175">
        <f t="shared" si="188"/>
        <v>15</v>
      </c>
      <c r="R96" s="116" t="s">
        <v>69</v>
      </c>
      <c r="S96" s="175">
        <f t="shared" si="189"/>
        <v>15</v>
      </c>
      <c r="T96" s="116" t="s">
        <v>123</v>
      </c>
      <c r="U96" s="175">
        <f t="shared" si="190"/>
        <v>0</v>
      </c>
      <c r="V96" s="116" t="s">
        <v>71</v>
      </c>
      <c r="W96" s="175">
        <f t="shared" si="191"/>
        <v>15</v>
      </c>
      <c r="X96" s="116" t="s">
        <v>72</v>
      </c>
      <c r="Y96" s="175">
        <f t="shared" si="192"/>
        <v>15</v>
      </c>
      <c r="Z96" s="116" t="s">
        <v>90</v>
      </c>
      <c r="AA96" s="175">
        <f t="shared" ref="AA96:AA99" si="198">IF(Z96="Completa",10,IF(Z96="Incompleta",5,IF(Z96="No existe",0)))</f>
        <v>10</v>
      </c>
      <c r="AB96" s="185">
        <f t="shared" ref="AB96:AB99" si="199">O96+Q96+S96+U96+W96+Y96+AA96</f>
        <v>85</v>
      </c>
      <c r="AC96" s="185" t="str">
        <f t="shared" ref="AC96:AC99" si="200">IF(AB96&lt;86,"Débil",(IF(AB96&lt;96,"Moderado","Fuerte")))</f>
        <v>Débil</v>
      </c>
      <c r="AD96" s="185" t="s">
        <v>74</v>
      </c>
      <c r="AE96" s="185" t="str">
        <f t="shared" ref="AE96:AE99" si="201">IF(OR(AND(AC96="Fuerte",AD96="Moderado"),AND(AC96="Moderado",AD96="Fuerte"),AND(AC96="Moderado",AD96="Moderado")),"Moderado",IF(OR(AND(AC96="Fuerte",AD96="Débil"),AND(AC96="Moderado",AD96="Débil"),AND(AC96="Débil")),"Débil",IF(AND(AC96="Fuerte",AD96="Fuerte"),"Fuerte")))</f>
        <v>Débil</v>
      </c>
      <c r="AF96" s="185" t="str">
        <f t="shared" ref="AF96:AF99" si="202">IF(AE96="Fuerte","100",IF(AE96="Moderado","50",IF(AE96="Débil","0")))</f>
        <v>0</v>
      </c>
      <c r="AG96" s="232"/>
      <c r="AH96" s="232"/>
      <c r="AI96" s="232"/>
      <c r="AJ96" s="232"/>
      <c r="AK96" s="239"/>
      <c r="AL96" s="231"/>
      <c r="AM96" s="229"/>
      <c r="AN96" s="243"/>
      <c r="AO96" s="242"/>
      <c r="AP96" s="231"/>
      <c r="AQ96" s="229"/>
      <c r="AR96" s="232"/>
      <c r="AS96" s="248"/>
      <c r="AT96" s="113"/>
      <c r="AU96" s="186"/>
      <c r="AV96" s="117"/>
      <c r="AW96" s="117"/>
      <c r="AX96" s="186"/>
      <c r="AY96" s="187"/>
      <c r="AZ96" s="227"/>
      <c r="BA96" s="227"/>
    </row>
    <row r="97" spans="1:53" s="86" customFormat="1" ht="24" customHeight="1" x14ac:dyDescent="0.25">
      <c r="A97" s="244"/>
      <c r="B97" s="227"/>
      <c r="C97" s="227"/>
      <c r="D97" s="227"/>
      <c r="E97" s="227"/>
      <c r="F97" s="229"/>
      <c r="G97" s="229"/>
      <c r="H97" s="228"/>
      <c r="I97" s="229"/>
      <c r="J97" s="229"/>
      <c r="K97" s="229"/>
      <c r="L97" s="187">
        <v>3</v>
      </c>
      <c r="M97" s="661" t="s">
        <v>581</v>
      </c>
      <c r="N97" s="115" t="s">
        <v>67</v>
      </c>
      <c r="O97" s="175">
        <f t="shared" si="187"/>
        <v>15</v>
      </c>
      <c r="P97" s="116" t="s">
        <v>68</v>
      </c>
      <c r="Q97" s="175">
        <f t="shared" si="188"/>
        <v>15</v>
      </c>
      <c r="R97" s="116" t="s">
        <v>69</v>
      </c>
      <c r="S97" s="175">
        <f t="shared" si="189"/>
        <v>15</v>
      </c>
      <c r="T97" s="116" t="s">
        <v>123</v>
      </c>
      <c r="U97" s="175">
        <f t="shared" si="190"/>
        <v>0</v>
      </c>
      <c r="V97" s="116" t="s">
        <v>71</v>
      </c>
      <c r="W97" s="175">
        <f t="shared" si="191"/>
        <v>15</v>
      </c>
      <c r="X97" s="116" t="s">
        <v>72</v>
      </c>
      <c r="Y97" s="175">
        <f t="shared" si="192"/>
        <v>15</v>
      </c>
      <c r="Z97" s="116" t="s">
        <v>90</v>
      </c>
      <c r="AA97" s="175">
        <f t="shared" si="198"/>
        <v>10</v>
      </c>
      <c r="AB97" s="185">
        <f t="shared" si="199"/>
        <v>85</v>
      </c>
      <c r="AC97" s="185" t="str">
        <f t="shared" si="200"/>
        <v>Débil</v>
      </c>
      <c r="AD97" s="185"/>
      <c r="AE97" s="185" t="str">
        <f t="shared" si="201"/>
        <v>Débil</v>
      </c>
      <c r="AF97" s="185" t="str">
        <f t="shared" si="202"/>
        <v>0</v>
      </c>
      <c r="AG97" s="232"/>
      <c r="AH97" s="232"/>
      <c r="AI97" s="232"/>
      <c r="AJ97" s="232"/>
      <c r="AK97" s="239"/>
      <c r="AL97" s="231"/>
      <c r="AM97" s="229"/>
      <c r="AN97" s="243"/>
      <c r="AO97" s="242"/>
      <c r="AP97" s="231"/>
      <c r="AQ97" s="229"/>
      <c r="AR97" s="232"/>
      <c r="AS97" s="248"/>
      <c r="AT97" s="186"/>
      <c r="AU97" s="187"/>
      <c r="AV97" s="117"/>
      <c r="AW97" s="117"/>
      <c r="AX97" s="186"/>
      <c r="AY97" s="187"/>
      <c r="AZ97" s="227"/>
      <c r="BA97" s="227"/>
    </row>
    <row r="98" spans="1:53" s="86" customFormat="1" ht="24" customHeight="1" x14ac:dyDescent="0.25">
      <c r="A98" s="244"/>
      <c r="B98" s="227"/>
      <c r="C98" s="227"/>
      <c r="D98" s="227"/>
      <c r="E98" s="227"/>
      <c r="F98" s="229"/>
      <c r="G98" s="229"/>
      <c r="H98" s="228"/>
      <c r="I98" s="229"/>
      <c r="J98" s="229"/>
      <c r="K98" s="229"/>
      <c r="L98" s="187">
        <v>4</v>
      </c>
      <c r="M98" s="134"/>
      <c r="N98" s="115"/>
      <c r="O98" s="175" t="b">
        <f t="shared" si="187"/>
        <v>0</v>
      </c>
      <c r="P98" s="116"/>
      <c r="Q98" s="175" t="b">
        <f t="shared" si="188"/>
        <v>0</v>
      </c>
      <c r="R98" s="116"/>
      <c r="S98" s="175" t="b">
        <f t="shared" si="189"/>
        <v>0</v>
      </c>
      <c r="T98" s="116"/>
      <c r="U98" s="175" t="b">
        <f t="shared" si="190"/>
        <v>0</v>
      </c>
      <c r="V98" s="116"/>
      <c r="W98" s="175" t="b">
        <f t="shared" si="191"/>
        <v>0</v>
      </c>
      <c r="X98" s="116"/>
      <c r="Y98" s="175" t="b">
        <f t="shared" si="192"/>
        <v>0</v>
      </c>
      <c r="Z98" s="116"/>
      <c r="AA98" s="175" t="b">
        <f t="shared" si="198"/>
        <v>0</v>
      </c>
      <c r="AB98" s="185">
        <f t="shared" si="199"/>
        <v>0</v>
      </c>
      <c r="AC98" s="185" t="str">
        <f t="shared" si="200"/>
        <v>Débil</v>
      </c>
      <c r="AD98" s="185"/>
      <c r="AE98" s="185" t="str">
        <f t="shared" si="201"/>
        <v>Débil</v>
      </c>
      <c r="AF98" s="185" t="str">
        <f t="shared" si="202"/>
        <v>0</v>
      </c>
      <c r="AG98" s="232"/>
      <c r="AH98" s="232"/>
      <c r="AI98" s="232"/>
      <c r="AJ98" s="232"/>
      <c r="AK98" s="239"/>
      <c r="AL98" s="231"/>
      <c r="AM98" s="229"/>
      <c r="AN98" s="243"/>
      <c r="AO98" s="242"/>
      <c r="AP98" s="231"/>
      <c r="AQ98" s="229"/>
      <c r="AR98" s="232"/>
      <c r="AS98" s="248"/>
      <c r="AT98" s="186"/>
      <c r="AU98" s="187"/>
      <c r="AV98" s="117"/>
      <c r="AW98" s="117"/>
      <c r="AX98" s="186"/>
      <c r="AY98" s="187"/>
      <c r="AZ98" s="227"/>
      <c r="BA98" s="227"/>
    </row>
    <row r="99" spans="1:53" s="86" customFormat="1" ht="24" customHeight="1" x14ac:dyDescent="0.25">
      <c r="A99" s="244"/>
      <c r="B99" s="227"/>
      <c r="C99" s="227"/>
      <c r="D99" s="227"/>
      <c r="E99" s="227"/>
      <c r="F99" s="229"/>
      <c r="G99" s="229"/>
      <c r="H99" s="228"/>
      <c r="I99" s="229"/>
      <c r="J99" s="229"/>
      <c r="K99" s="229"/>
      <c r="L99" s="187">
        <v>5</v>
      </c>
      <c r="M99" s="134"/>
      <c r="N99" s="115"/>
      <c r="O99" s="175" t="b">
        <f t="shared" si="187"/>
        <v>0</v>
      </c>
      <c r="P99" s="116"/>
      <c r="Q99" s="175" t="b">
        <f t="shared" si="188"/>
        <v>0</v>
      </c>
      <c r="R99" s="116"/>
      <c r="S99" s="175" t="b">
        <f t="shared" si="189"/>
        <v>0</v>
      </c>
      <c r="T99" s="116"/>
      <c r="U99" s="175" t="b">
        <f t="shared" si="190"/>
        <v>0</v>
      </c>
      <c r="V99" s="116"/>
      <c r="W99" s="175" t="b">
        <f t="shared" si="191"/>
        <v>0</v>
      </c>
      <c r="X99" s="116"/>
      <c r="Y99" s="175" t="b">
        <f t="shared" si="192"/>
        <v>0</v>
      </c>
      <c r="Z99" s="116"/>
      <c r="AA99" s="175" t="b">
        <f t="shared" si="198"/>
        <v>0</v>
      </c>
      <c r="AB99" s="185">
        <f t="shared" si="199"/>
        <v>0</v>
      </c>
      <c r="AC99" s="185" t="str">
        <f t="shared" si="200"/>
        <v>Débil</v>
      </c>
      <c r="AD99" s="185"/>
      <c r="AE99" s="185" t="str">
        <f t="shared" si="201"/>
        <v>Débil</v>
      </c>
      <c r="AF99" s="185" t="str">
        <f t="shared" si="202"/>
        <v>0</v>
      </c>
      <c r="AG99" s="232"/>
      <c r="AH99" s="232"/>
      <c r="AI99" s="232"/>
      <c r="AJ99" s="232"/>
      <c r="AK99" s="239"/>
      <c r="AL99" s="231"/>
      <c r="AM99" s="229"/>
      <c r="AN99" s="243"/>
      <c r="AO99" s="242"/>
      <c r="AP99" s="231"/>
      <c r="AQ99" s="229"/>
      <c r="AR99" s="232"/>
      <c r="AS99" s="248"/>
      <c r="AT99" s="186"/>
      <c r="AU99" s="187"/>
      <c r="AV99" s="117"/>
      <c r="AW99" s="117"/>
      <c r="AX99" s="186"/>
      <c r="AY99" s="187"/>
      <c r="AZ99" s="227"/>
      <c r="BA99" s="227"/>
    </row>
  </sheetData>
  <mergeCells count="543">
    <mergeCell ref="AZ65:AZ69"/>
    <mergeCell ref="B65:B69"/>
    <mergeCell ref="AZ10:AZ14"/>
    <mergeCell ref="B10:B14"/>
    <mergeCell ref="AG40:AG44"/>
    <mergeCell ref="AZ40:AZ44"/>
    <mergeCell ref="AG45:AG49"/>
    <mergeCell ref="AZ45:AZ49"/>
    <mergeCell ref="B45:B49"/>
    <mergeCell ref="B40:B44"/>
    <mergeCell ref="AN35:AN39"/>
    <mergeCell ref="AO35:AO39"/>
    <mergeCell ref="AP35:AP39"/>
    <mergeCell ref="AQ35:AQ39"/>
    <mergeCell ref="AR35:AR39"/>
    <mergeCell ref="AS35:AS39"/>
    <mergeCell ref="AZ35:AZ39"/>
    <mergeCell ref="BA35:BA39"/>
    <mergeCell ref="C35:C39"/>
    <mergeCell ref="J35:J39"/>
    <mergeCell ref="K35:K39"/>
    <mergeCell ref="AG35:AG39"/>
    <mergeCell ref="AH35:AH39"/>
    <mergeCell ref="AI35:AI39"/>
    <mergeCell ref="AJ35:AJ39"/>
    <mergeCell ref="AK35:AK39"/>
    <mergeCell ref="AL35:AL39"/>
    <mergeCell ref="AM35:AM39"/>
    <mergeCell ref="A35:A39"/>
    <mergeCell ref="B35:B39"/>
    <mergeCell ref="D35:D39"/>
    <mergeCell ref="E35:E39"/>
    <mergeCell ref="F35:F39"/>
    <mergeCell ref="G35:G39"/>
    <mergeCell ref="H35:H39"/>
    <mergeCell ref="I35:I39"/>
    <mergeCell ref="A1:AY1"/>
    <mergeCell ref="A2:E2"/>
    <mergeCell ref="F2:K2"/>
    <mergeCell ref="L2:AC2"/>
    <mergeCell ref="AE2:AF3"/>
    <mergeCell ref="AG2:AG4"/>
    <mergeCell ref="AH2:AI3"/>
    <mergeCell ref="A3:A4"/>
    <mergeCell ref="C3:C4"/>
    <mergeCell ref="D3:D4"/>
    <mergeCell ref="E3:E4"/>
    <mergeCell ref="AT2:AY2"/>
    <mergeCell ref="F3:F4"/>
    <mergeCell ref="G3:G4"/>
    <mergeCell ref="H3:H4"/>
    <mergeCell ref="I3:I4"/>
    <mergeCell ref="J3:J4"/>
    <mergeCell ref="K3:K4"/>
    <mergeCell ref="B3:B4"/>
    <mergeCell ref="AZ2:AZ4"/>
    <mergeCell ref="BA2:BA4"/>
    <mergeCell ref="AS3:AS4"/>
    <mergeCell ref="AT3:AT4"/>
    <mergeCell ref="AU3:AU4"/>
    <mergeCell ref="AV3:AV4"/>
    <mergeCell ref="AJ2:AJ4"/>
    <mergeCell ref="AK2:AK4"/>
    <mergeCell ref="AL2:AL4"/>
    <mergeCell ref="AM2:AM4"/>
    <mergeCell ref="AN2:AN4"/>
    <mergeCell ref="AO2:AO4"/>
    <mergeCell ref="AP2:AP4"/>
    <mergeCell ref="AQ2:AQ4"/>
    <mergeCell ref="AR2:AR4"/>
    <mergeCell ref="I5:I9"/>
    <mergeCell ref="J5:J9"/>
    <mergeCell ref="K5:K9"/>
    <mergeCell ref="AG5:AG9"/>
    <mergeCell ref="AH5:AH9"/>
    <mergeCell ref="AI5:AI9"/>
    <mergeCell ref="AW3:AW4"/>
    <mergeCell ref="AX3:AX4"/>
    <mergeCell ref="AY3:AY4"/>
    <mergeCell ref="V3:W3"/>
    <mergeCell ref="X3:Y3"/>
    <mergeCell ref="Z3:AA3"/>
    <mergeCell ref="AB3:AB4"/>
    <mergeCell ref="AC3:AC4"/>
    <mergeCell ref="AD3:AD4"/>
    <mergeCell ref="L3:L4"/>
    <mergeCell ref="M3:M4"/>
    <mergeCell ref="N3:O3"/>
    <mergeCell ref="P3:Q3"/>
    <mergeCell ref="R3:S3"/>
    <mergeCell ref="T3:U3"/>
    <mergeCell ref="AP5:AP9"/>
    <mergeCell ref="AQ5:AQ9"/>
    <mergeCell ref="AR5:AR9"/>
    <mergeCell ref="AS5:AS9"/>
    <mergeCell ref="AZ5:AZ9"/>
    <mergeCell ref="BA5:BA9"/>
    <mergeCell ref="AJ5:AJ9"/>
    <mergeCell ref="AK5:AK9"/>
    <mergeCell ref="AL5:AL9"/>
    <mergeCell ref="AM5:AM9"/>
    <mergeCell ref="AN5:AN9"/>
    <mergeCell ref="AO5:AO9"/>
    <mergeCell ref="H5:H9"/>
    <mergeCell ref="A15:A19"/>
    <mergeCell ref="C15:C19"/>
    <mergeCell ref="D15:D19"/>
    <mergeCell ref="E15:E19"/>
    <mergeCell ref="F15:F19"/>
    <mergeCell ref="G15:G19"/>
    <mergeCell ref="H15:H19"/>
    <mergeCell ref="A5:A9"/>
    <mergeCell ref="C5:C9"/>
    <mergeCell ref="D5:D9"/>
    <mergeCell ref="E5:E9"/>
    <mergeCell ref="F5:F9"/>
    <mergeCell ref="G5:G9"/>
    <mergeCell ref="H10:H14"/>
    <mergeCell ref="I10:I14"/>
    <mergeCell ref="B5:B9"/>
    <mergeCell ref="AL15:AL19"/>
    <mergeCell ref="AM15:AM19"/>
    <mergeCell ref="AN15:AN19"/>
    <mergeCell ref="AO15:AO19"/>
    <mergeCell ref="I15:I19"/>
    <mergeCell ref="J15:J19"/>
    <mergeCell ref="K15:K19"/>
    <mergeCell ref="AG15:AG19"/>
    <mergeCell ref="AH15:AH19"/>
    <mergeCell ref="AI15:AI19"/>
    <mergeCell ref="AP15:AP19"/>
    <mergeCell ref="AQ15:AQ19"/>
    <mergeCell ref="AR15:AR19"/>
    <mergeCell ref="AS15:AS19"/>
    <mergeCell ref="AZ15:AZ19"/>
    <mergeCell ref="A20:A24"/>
    <mergeCell ref="C20:C24"/>
    <mergeCell ref="D20:D24"/>
    <mergeCell ref="E20:E24"/>
    <mergeCell ref="F20:F24"/>
    <mergeCell ref="G20:G24"/>
    <mergeCell ref="AM10:AM14"/>
    <mergeCell ref="AN10:AN14"/>
    <mergeCell ref="AO10:AO14"/>
    <mergeCell ref="AP10:AP14"/>
    <mergeCell ref="AQ10:AQ14"/>
    <mergeCell ref="AR10:AR14"/>
    <mergeCell ref="AH10:AH14"/>
    <mergeCell ref="AI10:AI14"/>
    <mergeCell ref="AJ10:AJ14"/>
    <mergeCell ref="BA15:BA19"/>
    <mergeCell ref="AJ15:AJ19"/>
    <mergeCell ref="AK10:AK14"/>
    <mergeCell ref="AL10:AL14"/>
    <mergeCell ref="A10:A14"/>
    <mergeCell ref="D10:D14"/>
    <mergeCell ref="E10:E14"/>
    <mergeCell ref="F10:F14"/>
    <mergeCell ref="G10:G14"/>
    <mergeCell ref="H20:H24"/>
    <mergeCell ref="I20:I24"/>
    <mergeCell ref="J20:J24"/>
    <mergeCell ref="K20:K24"/>
    <mergeCell ref="AG20:AG24"/>
    <mergeCell ref="AH20:AH24"/>
    <mergeCell ref="J10:J14"/>
    <mergeCell ref="K10:K14"/>
    <mergeCell ref="AK15:AK19"/>
    <mergeCell ref="B15:B19"/>
    <mergeCell ref="C10:C14"/>
    <mergeCell ref="B20:B24"/>
    <mergeCell ref="AG10:AG14"/>
    <mergeCell ref="AS10:AS14"/>
    <mergeCell ref="BA10:BA14"/>
    <mergeCell ref="AJ30:AJ34"/>
    <mergeCell ref="AK30:AK34"/>
    <mergeCell ref="BA20:BA24"/>
    <mergeCell ref="A30:A34"/>
    <mergeCell ref="C30:C34"/>
    <mergeCell ref="D30:D34"/>
    <mergeCell ref="E30:E34"/>
    <mergeCell ref="F30:F34"/>
    <mergeCell ref="G30:G34"/>
    <mergeCell ref="H30:H34"/>
    <mergeCell ref="I30:I34"/>
    <mergeCell ref="J30:J34"/>
    <mergeCell ref="AO20:AO24"/>
    <mergeCell ref="AP20:AP24"/>
    <mergeCell ref="AQ20:AQ24"/>
    <mergeCell ref="AR20:AR24"/>
    <mergeCell ref="AS20:AS24"/>
    <mergeCell ref="AZ20:AZ24"/>
    <mergeCell ref="AI20:AI24"/>
    <mergeCell ref="AJ20:AJ24"/>
    <mergeCell ref="AK20:AK24"/>
    <mergeCell ref="AL20:AL24"/>
    <mergeCell ref="AM20:AM24"/>
    <mergeCell ref="AN20:AN24"/>
    <mergeCell ref="J25:J29"/>
    <mergeCell ref="K25:K29"/>
    <mergeCell ref="AG25:AG29"/>
    <mergeCell ref="AH25:AH29"/>
    <mergeCell ref="AR30:AR34"/>
    <mergeCell ref="AS30:AS34"/>
    <mergeCell ref="AZ30:AZ34"/>
    <mergeCell ref="BA30:BA34"/>
    <mergeCell ref="A25:A29"/>
    <mergeCell ref="C25:C29"/>
    <mergeCell ref="D25:D29"/>
    <mergeCell ref="E25:E29"/>
    <mergeCell ref="F25:F29"/>
    <mergeCell ref="G25:G29"/>
    <mergeCell ref="AL30:AL34"/>
    <mergeCell ref="AM30:AM34"/>
    <mergeCell ref="AN30:AN34"/>
    <mergeCell ref="AO30:AO34"/>
    <mergeCell ref="AP30:AP34"/>
    <mergeCell ref="AQ30:AQ34"/>
    <mergeCell ref="K30:K34"/>
    <mergeCell ref="AG30:AG34"/>
    <mergeCell ref="AH30:AH34"/>
    <mergeCell ref="AI30:AI34"/>
    <mergeCell ref="BA25:BA29"/>
    <mergeCell ref="AO25:AO29"/>
    <mergeCell ref="AP25:AP29"/>
    <mergeCell ref="AQ25:AQ29"/>
    <mergeCell ref="AR25:AR29"/>
    <mergeCell ref="AS25:AS29"/>
    <mergeCell ref="AZ25:AZ29"/>
    <mergeCell ref="AI25:AI29"/>
    <mergeCell ref="AJ25:AJ29"/>
    <mergeCell ref="AK25:AK29"/>
    <mergeCell ref="AL25:AL29"/>
    <mergeCell ref="AM25:AM29"/>
    <mergeCell ref="AN25:AN29"/>
    <mergeCell ref="H25:H29"/>
    <mergeCell ref="I25:I29"/>
    <mergeCell ref="BA50:BA54"/>
    <mergeCell ref="AO45:AO49"/>
    <mergeCell ref="A45:A49"/>
    <mergeCell ref="D45:D49"/>
    <mergeCell ref="E45:E49"/>
    <mergeCell ref="F45:F49"/>
    <mergeCell ref="G45:G49"/>
    <mergeCell ref="H45:H49"/>
    <mergeCell ref="AM40:AM44"/>
    <mergeCell ref="AN40:AN44"/>
    <mergeCell ref="AO40:AO44"/>
    <mergeCell ref="I45:I49"/>
    <mergeCell ref="J45:J49"/>
    <mergeCell ref="K45:K49"/>
    <mergeCell ref="AH45:AH49"/>
    <mergeCell ref="A40:A44"/>
    <mergeCell ref="D40:D44"/>
    <mergeCell ref="E40:E44"/>
    <mergeCell ref="F40:F44"/>
    <mergeCell ref="G40:G44"/>
    <mergeCell ref="H40:H44"/>
    <mergeCell ref="I40:I44"/>
    <mergeCell ref="AQ50:AQ54"/>
    <mergeCell ref="AN50:AN54"/>
    <mergeCell ref="K50:K54"/>
    <mergeCell ref="AG50:AG54"/>
    <mergeCell ref="AH50:AH54"/>
    <mergeCell ref="AI50:AI54"/>
    <mergeCell ref="A50:A54"/>
    <mergeCell ref="C50:C54"/>
    <mergeCell ref="D50:D54"/>
    <mergeCell ref="E50:E54"/>
    <mergeCell ref="F50:F54"/>
    <mergeCell ref="G50:G54"/>
    <mergeCell ref="H50:H54"/>
    <mergeCell ref="I50:I54"/>
    <mergeCell ref="J50:J54"/>
    <mergeCell ref="AP45:AP49"/>
    <mergeCell ref="AQ45:AQ49"/>
    <mergeCell ref="AR45:AR49"/>
    <mergeCell ref="AS45:AS49"/>
    <mergeCell ref="BA45:BA49"/>
    <mergeCell ref="AJ45:AJ49"/>
    <mergeCell ref="AK45:AK49"/>
    <mergeCell ref="AR50:AR54"/>
    <mergeCell ref="BA55:BA59"/>
    <mergeCell ref="AO55:AO59"/>
    <mergeCell ref="AP55:AP59"/>
    <mergeCell ref="AQ55:AQ59"/>
    <mergeCell ref="J55:J59"/>
    <mergeCell ref="AS40:AS44"/>
    <mergeCell ref="BA40:BA44"/>
    <mergeCell ref="AJ50:AJ54"/>
    <mergeCell ref="AK50:AK54"/>
    <mergeCell ref="AP40:AP44"/>
    <mergeCell ref="AQ40:AQ44"/>
    <mergeCell ref="AR40:AR44"/>
    <mergeCell ref="AH40:AH44"/>
    <mergeCell ref="AI40:AI44"/>
    <mergeCell ref="AJ40:AJ44"/>
    <mergeCell ref="AK40:AK44"/>
    <mergeCell ref="AL40:AL44"/>
    <mergeCell ref="AS50:AS54"/>
    <mergeCell ref="AZ50:AZ54"/>
    <mergeCell ref="AO50:AO54"/>
    <mergeCell ref="AP50:AP54"/>
    <mergeCell ref="A60:A64"/>
    <mergeCell ref="C60:C64"/>
    <mergeCell ref="D60:D64"/>
    <mergeCell ref="E60:E64"/>
    <mergeCell ref="F60:F64"/>
    <mergeCell ref="G60:G64"/>
    <mergeCell ref="H60:H64"/>
    <mergeCell ref="I60:I64"/>
    <mergeCell ref="J60:J64"/>
    <mergeCell ref="A55:A59"/>
    <mergeCell ref="C55:C59"/>
    <mergeCell ref="D55:D59"/>
    <mergeCell ref="E55:E59"/>
    <mergeCell ref="F55:F59"/>
    <mergeCell ref="G55:G59"/>
    <mergeCell ref="BA90:BA94"/>
    <mergeCell ref="AO90:AO94"/>
    <mergeCell ref="AS55:AS59"/>
    <mergeCell ref="AZ55:AZ59"/>
    <mergeCell ref="AI55:AI59"/>
    <mergeCell ref="AJ55:AJ59"/>
    <mergeCell ref="AK55:AK59"/>
    <mergeCell ref="AL55:AL59"/>
    <mergeCell ref="AM55:AM59"/>
    <mergeCell ref="AN55:AN59"/>
    <mergeCell ref="AR55:AR59"/>
    <mergeCell ref="AJ65:AJ69"/>
    <mergeCell ref="AK65:AK69"/>
    <mergeCell ref="AS70:AS74"/>
    <mergeCell ref="AZ70:AZ74"/>
    <mergeCell ref="BA70:BA74"/>
    <mergeCell ref="AS75:AS79"/>
    <mergeCell ref="AZ75:AZ79"/>
    <mergeCell ref="BA75:BA79"/>
    <mergeCell ref="AJ85:AJ89"/>
    <mergeCell ref="BA85:BA89"/>
    <mergeCell ref="AK85:AK89"/>
    <mergeCell ref="AL85:AL89"/>
    <mergeCell ref="B90:B94"/>
    <mergeCell ref="B95:B99"/>
    <mergeCell ref="AR60:AR64"/>
    <mergeCell ref="AS60:AS64"/>
    <mergeCell ref="AZ60:AZ64"/>
    <mergeCell ref="BA60:BA64"/>
    <mergeCell ref="AO60:AO64"/>
    <mergeCell ref="AP60:AP64"/>
    <mergeCell ref="AQ60:AQ64"/>
    <mergeCell ref="BA95:BA99"/>
    <mergeCell ref="AL95:AL99"/>
    <mergeCell ref="AM95:AM99"/>
    <mergeCell ref="AN95:AN99"/>
    <mergeCell ref="AO95:AO99"/>
    <mergeCell ref="AP95:AP99"/>
    <mergeCell ref="AQ95:AQ99"/>
    <mergeCell ref="K95:K99"/>
    <mergeCell ref="AG95:AG99"/>
    <mergeCell ref="A90:A94"/>
    <mergeCell ref="C90:C94"/>
    <mergeCell ref="D90:D94"/>
    <mergeCell ref="E90:E94"/>
    <mergeCell ref="F90:F94"/>
    <mergeCell ref="G90:G94"/>
    <mergeCell ref="AL60:AL64"/>
    <mergeCell ref="AM60:AM64"/>
    <mergeCell ref="AN60:AN64"/>
    <mergeCell ref="K60:K64"/>
    <mergeCell ref="AG60:AG64"/>
    <mergeCell ref="AH60:AH64"/>
    <mergeCell ref="AI60:AI64"/>
    <mergeCell ref="AJ60:AJ64"/>
    <mergeCell ref="AK60:AK64"/>
    <mergeCell ref="AM75:AM79"/>
    <mergeCell ref="AN75:AN79"/>
    <mergeCell ref="H90:H94"/>
    <mergeCell ref="I90:I94"/>
    <mergeCell ref="AG85:AG89"/>
    <mergeCell ref="AH85:AH89"/>
    <mergeCell ref="AI85:AI89"/>
    <mergeCell ref="J90:J94"/>
    <mergeCell ref="K90:K94"/>
    <mergeCell ref="A95:A99"/>
    <mergeCell ref="C95:C99"/>
    <mergeCell ref="D95:D99"/>
    <mergeCell ref="E95:E99"/>
    <mergeCell ref="F95:F99"/>
    <mergeCell ref="G95:G99"/>
    <mergeCell ref="H95:H99"/>
    <mergeCell ref="I95:I99"/>
    <mergeCell ref="J95:J99"/>
    <mergeCell ref="AH95:AH99"/>
    <mergeCell ref="AI95:AI99"/>
    <mergeCell ref="AJ95:AJ99"/>
    <mergeCell ref="AK95:AK99"/>
    <mergeCell ref="AS95:AS99"/>
    <mergeCell ref="AZ95:AZ99"/>
    <mergeCell ref="AR95:AR99"/>
    <mergeCell ref="AP90:AP94"/>
    <mergeCell ref="AQ90:AQ94"/>
    <mergeCell ref="AR90:AR94"/>
    <mergeCell ref="AS90:AS94"/>
    <mergeCell ref="AZ90:AZ94"/>
    <mergeCell ref="AI90:AI94"/>
    <mergeCell ref="AJ90:AJ94"/>
    <mergeCell ref="AK90:AK94"/>
    <mergeCell ref="AL90:AL94"/>
    <mergeCell ref="AM90:AM94"/>
    <mergeCell ref="AN90:AN94"/>
    <mergeCell ref="AQ85:AQ89"/>
    <mergeCell ref="AR85:AR89"/>
    <mergeCell ref="AS85:AS89"/>
    <mergeCell ref="AZ85:AZ89"/>
    <mergeCell ref="AO85:AO89"/>
    <mergeCell ref="AP85:AP89"/>
    <mergeCell ref="AQ80:AQ84"/>
    <mergeCell ref="AR80:AR84"/>
    <mergeCell ref="AS80:AS84"/>
    <mergeCell ref="AZ80:AZ84"/>
    <mergeCell ref="AP65:AP69"/>
    <mergeCell ref="AQ65:AQ69"/>
    <mergeCell ref="AQ70:AQ74"/>
    <mergeCell ref="AR70:AR74"/>
    <mergeCell ref="AO70:AO74"/>
    <mergeCell ref="AP70:AP74"/>
    <mergeCell ref="AR75:AR79"/>
    <mergeCell ref="AK80:AK84"/>
    <mergeCell ref="AL80:AL84"/>
    <mergeCell ref="AM80:AM84"/>
    <mergeCell ref="AN80:AN84"/>
    <mergeCell ref="AN70:AN74"/>
    <mergeCell ref="AP75:AP79"/>
    <mergeCell ref="AG90:AG94"/>
    <mergeCell ref="AH90:AH94"/>
    <mergeCell ref="AG80:AG84"/>
    <mergeCell ref="A65:A69"/>
    <mergeCell ref="D65:D69"/>
    <mergeCell ref="E65:E69"/>
    <mergeCell ref="F65:F69"/>
    <mergeCell ref="G65:G69"/>
    <mergeCell ref="H65:H69"/>
    <mergeCell ref="AH65:AH69"/>
    <mergeCell ref="AI65:AI69"/>
    <mergeCell ref="G75:G79"/>
    <mergeCell ref="AG70:AG74"/>
    <mergeCell ref="AH70:AH74"/>
    <mergeCell ref="H70:H74"/>
    <mergeCell ref="I70:I74"/>
    <mergeCell ref="J70:J74"/>
    <mergeCell ref="K70:K74"/>
    <mergeCell ref="G70:G74"/>
    <mergeCell ref="I65:I69"/>
    <mergeCell ref="J65:J69"/>
    <mergeCell ref="K65:K69"/>
    <mergeCell ref="A75:A79"/>
    <mergeCell ref="D75:D79"/>
    <mergeCell ref="E75:E79"/>
    <mergeCell ref="J85:J89"/>
    <mergeCell ref="K85:K89"/>
    <mergeCell ref="F75:F79"/>
    <mergeCell ref="AK70:AK74"/>
    <mergeCell ref="AL70:AL74"/>
    <mergeCell ref="AM70:AM74"/>
    <mergeCell ref="AG75:AG79"/>
    <mergeCell ref="AH75:AH79"/>
    <mergeCell ref="AI75:AI79"/>
    <mergeCell ref="AJ75:AJ79"/>
    <mergeCell ref="H75:H79"/>
    <mergeCell ref="I75:I79"/>
    <mergeCell ref="J75:J79"/>
    <mergeCell ref="K75:K79"/>
    <mergeCell ref="AM85:AM89"/>
    <mergeCell ref="AN85:AN89"/>
    <mergeCell ref="A70:A74"/>
    <mergeCell ref="C70:C74"/>
    <mergeCell ref="D70:D74"/>
    <mergeCell ref="E70:E74"/>
    <mergeCell ref="F70:F74"/>
    <mergeCell ref="AI70:AI74"/>
    <mergeCell ref="AJ70:AJ74"/>
    <mergeCell ref="A85:A89"/>
    <mergeCell ref="C85:C89"/>
    <mergeCell ref="D85:D89"/>
    <mergeCell ref="E85:E89"/>
    <mergeCell ref="F85:F89"/>
    <mergeCell ref="G85:G89"/>
    <mergeCell ref="B85:B89"/>
    <mergeCell ref="B80:B84"/>
    <mergeCell ref="A80:A84"/>
    <mergeCell ref="C80:C84"/>
    <mergeCell ref="D80:D84"/>
    <mergeCell ref="E80:E84"/>
    <mergeCell ref="G80:G84"/>
    <mergeCell ref="H85:H89"/>
    <mergeCell ref="I85:I89"/>
    <mergeCell ref="C75:C79"/>
    <mergeCell ref="BA80:BA84"/>
    <mergeCell ref="AO80:AO84"/>
    <mergeCell ref="AP80:AP84"/>
    <mergeCell ref="AQ75:AQ79"/>
    <mergeCell ref="B60:B64"/>
    <mergeCell ref="F80:F84"/>
    <mergeCell ref="AK75:AK79"/>
    <mergeCell ref="AL75:AL79"/>
    <mergeCell ref="C65:C69"/>
    <mergeCell ref="B70:B74"/>
    <mergeCell ref="B75:B79"/>
    <mergeCell ref="AO65:AO69"/>
    <mergeCell ref="AR65:AR69"/>
    <mergeCell ref="AH80:AH84"/>
    <mergeCell ref="AI80:AI84"/>
    <mergeCell ref="AJ80:AJ84"/>
    <mergeCell ref="H80:H84"/>
    <mergeCell ref="I80:I84"/>
    <mergeCell ref="J80:J84"/>
    <mergeCell ref="K80:K84"/>
    <mergeCell ref="AS65:AS69"/>
    <mergeCell ref="BA65:BA69"/>
    <mergeCell ref="AO75:AO79"/>
    <mergeCell ref="B25:B29"/>
    <mergeCell ref="B30:B34"/>
    <mergeCell ref="C40:C44"/>
    <mergeCell ref="C45:C49"/>
    <mergeCell ref="B50:B54"/>
    <mergeCell ref="B55:B59"/>
    <mergeCell ref="AL65:AL69"/>
    <mergeCell ref="AM65:AM69"/>
    <mergeCell ref="AN65:AN69"/>
    <mergeCell ref="H55:H59"/>
    <mergeCell ref="I55:I59"/>
    <mergeCell ref="AM45:AM49"/>
    <mergeCell ref="AN45:AN49"/>
    <mergeCell ref="AL50:AL54"/>
    <mergeCell ref="AM50:AM54"/>
    <mergeCell ref="AI45:AI49"/>
    <mergeCell ref="K55:K59"/>
    <mergeCell ref="AG55:AG59"/>
    <mergeCell ref="AH55:AH59"/>
    <mergeCell ref="AL45:AL49"/>
    <mergeCell ref="J40:J44"/>
    <mergeCell ref="K40:K44"/>
    <mergeCell ref="AG65:AG69"/>
  </mergeCells>
  <conditionalFormatting sqref="F5">
    <cfRule type="cellIs" dxfId="1175" priority="1521" operator="equal">
      <formula>"Casi seguro"</formula>
    </cfRule>
    <cfRule type="cellIs" dxfId="1174" priority="1522" operator="equal">
      <formula>"Probable"</formula>
    </cfRule>
    <cfRule type="cellIs" dxfId="1173" priority="1523" operator="equal">
      <formula>"Posible"</formula>
    </cfRule>
    <cfRule type="cellIs" dxfId="1172" priority="1524" operator="equal">
      <formula>"Improbable"</formula>
    </cfRule>
  </conditionalFormatting>
  <conditionalFormatting sqref="I5">
    <cfRule type="cellIs" dxfId="1171" priority="1516" operator="equal">
      <formula>"Catastrófico"</formula>
    </cfRule>
    <cfRule type="cellIs" dxfId="1170" priority="1517" operator="equal">
      <formula>"Mayor"</formula>
    </cfRule>
    <cfRule type="cellIs" dxfId="1169" priority="1518" operator="equal">
      <formula>"Moderado"</formula>
    </cfRule>
    <cfRule type="cellIs" dxfId="1168" priority="1519" operator="equal">
      <formula>"Menor"</formula>
    </cfRule>
    <cfRule type="cellIs" dxfId="1167" priority="1520" operator="equal">
      <formula>"Leve"</formula>
    </cfRule>
  </conditionalFormatting>
  <conditionalFormatting sqref="J5">
    <cfRule type="cellIs" dxfId="1166" priority="1511" operator="equal">
      <formula>"Muy Alta"</formula>
    </cfRule>
    <cfRule type="cellIs" dxfId="1165" priority="1512" operator="equal">
      <formula>"Alta"</formula>
    </cfRule>
    <cfRule type="cellIs" dxfId="1164" priority="1513" operator="equal">
      <formula>"Media"</formula>
    </cfRule>
    <cfRule type="cellIs" dxfId="1163" priority="1514" operator="equal">
      <formula>"Baja"</formula>
    </cfRule>
    <cfRule type="cellIs" dxfId="1162" priority="1515" operator="equal">
      <formula>"Muy Baja"</formula>
    </cfRule>
  </conditionalFormatting>
  <conditionalFormatting sqref="K5">
    <cfRule type="cellIs" dxfId="1161" priority="1507" operator="equal">
      <formula>"Extremo"</formula>
    </cfRule>
    <cfRule type="cellIs" dxfId="1160" priority="1508" operator="equal">
      <formula>"Alto"</formula>
    </cfRule>
    <cfRule type="cellIs" dxfId="1159" priority="1509" operator="equal">
      <formula>"Moderado"</formula>
    </cfRule>
    <cfRule type="cellIs" dxfId="1158" priority="1510" operator="equal">
      <formula>"Bajo"</formula>
    </cfRule>
  </conditionalFormatting>
  <conditionalFormatting sqref="AR5">
    <cfRule type="containsText" dxfId="1157" priority="1504" operator="containsText" text="Alto">
      <formula>NOT(ISERROR(SEARCH("Alto",AR5)))</formula>
    </cfRule>
    <cfRule type="containsText" dxfId="1156" priority="1505" stopIfTrue="1" operator="containsText" text="Moderado">
      <formula>NOT(ISERROR(SEARCH("Moderado",AR5)))</formula>
    </cfRule>
    <cfRule type="containsText" dxfId="1155" priority="1506" operator="containsText" text="Extremo">
      <formula>NOT(ISERROR(SEARCH("Extremo",AR5)))</formula>
    </cfRule>
  </conditionalFormatting>
  <conditionalFormatting sqref="G5">
    <cfRule type="cellIs" dxfId="1154" priority="1499" operator="equal">
      <formula>"Muy Alta"</formula>
    </cfRule>
    <cfRule type="cellIs" dxfId="1153" priority="1500" operator="equal">
      <formula>"Alta"</formula>
    </cfRule>
    <cfRule type="cellIs" dxfId="1152" priority="1501" operator="equal">
      <formula>"Media"</formula>
    </cfRule>
    <cfRule type="cellIs" dxfId="1151" priority="1502" operator="equal">
      <formula>"Baja"</formula>
    </cfRule>
    <cfRule type="cellIs" dxfId="1150" priority="1503" operator="equal">
      <formula>"Muy Baja"</formula>
    </cfRule>
  </conditionalFormatting>
  <conditionalFormatting sqref="F5:F9">
    <cfRule type="cellIs" dxfId="1149" priority="1498" operator="equal">
      <formula>"Rara vez"</formula>
    </cfRule>
  </conditionalFormatting>
  <conditionalFormatting sqref="AM5">
    <cfRule type="cellIs" dxfId="1148" priority="1494" operator="equal">
      <formula>"Casi seguro"</formula>
    </cfRule>
    <cfRule type="cellIs" dxfId="1147" priority="1495" operator="equal">
      <formula>"Probable"</formula>
    </cfRule>
    <cfRule type="cellIs" dxfId="1146" priority="1496" operator="equal">
      <formula>"Posible"</formula>
    </cfRule>
    <cfRule type="cellIs" dxfId="1145" priority="1497" operator="equal">
      <formula>"Improbable"</formula>
    </cfRule>
  </conditionalFormatting>
  <conditionalFormatting sqref="AM5:AM9">
    <cfRule type="cellIs" dxfId="1144" priority="1493" operator="equal">
      <formula>"Rara vez"</formula>
    </cfRule>
  </conditionalFormatting>
  <conditionalFormatting sqref="AQ5">
    <cfRule type="cellIs" dxfId="1143" priority="1488" operator="equal">
      <formula>"Catastrófico"</formula>
    </cfRule>
    <cfRule type="cellIs" dxfId="1142" priority="1489" operator="equal">
      <formula>"Mayor"</formula>
    </cfRule>
    <cfRule type="cellIs" dxfId="1141" priority="1490" operator="equal">
      <formula>"Moderado"</formula>
    </cfRule>
    <cfRule type="cellIs" dxfId="1140" priority="1491" operator="equal">
      <formula>"Menor"</formula>
    </cfRule>
    <cfRule type="cellIs" dxfId="1139" priority="1492" operator="equal">
      <formula>"Leve"</formula>
    </cfRule>
  </conditionalFormatting>
  <conditionalFormatting sqref="F15">
    <cfRule type="cellIs" dxfId="1138" priority="865" operator="equal">
      <formula>"Casi seguro"</formula>
    </cfRule>
    <cfRule type="cellIs" dxfId="1137" priority="866" operator="equal">
      <formula>"Probable"</formula>
    </cfRule>
    <cfRule type="cellIs" dxfId="1136" priority="867" operator="equal">
      <formula>"Posible"</formula>
    </cfRule>
    <cfRule type="cellIs" dxfId="1135" priority="868" operator="equal">
      <formula>"Improbable"</formula>
    </cfRule>
  </conditionalFormatting>
  <conditionalFormatting sqref="I15">
    <cfRule type="cellIs" dxfId="1134" priority="860" operator="equal">
      <formula>"Catastrófico"</formula>
    </cfRule>
    <cfRule type="cellIs" dxfId="1133" priority="861" operator="equal">
      <formula>"Mayor"</formula>
    </cfRule>
    <cfRule type="cellIs" dxfId="1132" priority="862" operator="equal">
      <formula>"Moderado"</formula>
    </cfRule>
    <cfRule type="cellIs" dxfId="1131" priority="863" operator="equal">
      <formula>"Menor"</formula>
    </cfRule>
    <cfRule type="cellIs" dxfId="1130" priority="864" operator="equal">
      <formula>"Leve"</formula>
    </cfRule>
  </conditionalFormatting>
  <conditionalFormatting sqref="J15">
    <cfRule type="cellIs" dxfId="1129" priority="855" operator="equal">
      <formula>"Muy Alta"</formula>
    </cfRule>
    <cfRule type="cellIs" dxfId="1128" priority="856" operator="equal">
      <formula>"Alta"</formula>
    </cfRule>
    <cfRule type="cellIs" dxfId="1127" priority="857" operator="equal">
      <formula>"Media"</formula>
    </cfRule>
    <cfRule type="cellIs" dxfId="1126" priority="858" operator="equal">
      <formula>"Baja"</formula>
    </cfRule>
    <cfRule type="cellIs" dxfId="1125" priority="859" operator="equal">
      <formula>"Muy Baja"</formula>
    </cfRule>
  </conditionalFormatting>
  <conditionalFormatting sqref="K15">
    <cfRule type="cellIs" dxfId="1124" priority="851" operator="equal">
      <formula>"Extremo"</formula>
    </cfRule>
    <cfRule type="cellIs" dxfId="1123" priority="852" operator="equal">
      <formula>"Alto"</formula>
    </cfRule>
    <cfRule type="cellIs" dxfId="1122" priority="853" operator="equal">
      <formula>"Moderado"</formula>
    </cfRule>
    <cfRule type="cellIs" dxfId="1121" priority="854" operator="equal">
      <formula>"Bajo"</formula>
    </cfRule>
  </conditionalFormatting>
  <conditionalFormatting sqref="AR15">
    <cfRule type="containsText" dxfId="1120" priority="848" operator="containsText" text="Alto">
      <formula>NOT(ISERROR(SEARCH("Alto",AR15)))</formula>
    </cfRule>
    <cfRule type="containsText" dxfId="1119" priority="849" stopIfTrue="1" operator="containsText" text="Moderado">
      <formula>NOT(ISERROR(SEARCH("Moderado",AR15)))</formula>
    </cfRule>
    <cfRule type="containsText" dxfId="1118" priority="850" operator="containsText" text="Extremo">
      <formula>NOT(ISERROR(SEARCH("Extremo",AR15)))</formula>
    </cfRule>
  </conditionalFormatting>
  <conditionalFormatting sqref="G15">
    <cfRule type="cellIs" dxfId="1117" priority="843" operator="equal">
      <formula>"Muy Alta"</formula>
    </cfRule>
    <cfRule type="cellIs" dxfId="1116" priority="844" operator="equal">
      <formula>"Alta"</formula>
    </cfRule>
    <cfRule type="cellIs" dxfId="1115" priority="845" operator="equal">
      <formula>"Media"</formula>
    </cfRule>
    <cfRule type="cellIs" dxfId="1114" priority="846" operator="equal">
      <formula>"Baja"</formula>
    </cfRule>
    <cfRule type="cellIs" dxfId="1113" priority="847" operator="equal">
      <formula>"Muy Baja"</formula>
    </cfRule>
  </conditionalFormatting>
  <conditionalFormatting sqref="F15:F19">
    <cfRule type="cellIs" dxfId="1112" priority="842" operator="equal">
      <formula>"Rara vez"</formula>
    </cfRule>
  </conditionalFormatting>
  <conditionalFormatting sqref="AM15">
    <cfRule type="cellIs" dxfId="1111" priority="838" operator="equal">
      <formula>"Casi seguro"</formula>
    </cfRule>
    <cfRule type="cellIs" dxfId="1110" priority="839" operator="equal">
      <formula>"Probable"</formula>
    </cfRule>
    <cfRule type="cellIs" dxfId="1109" priority="840" operator="equal">
      <formula>"Posible"</formula>
    </cfRule>
    <cfRule type="cellIs" dxfId="1108" priority="841" operator="equal">
      <formula>"Improbable"</formula>
    </cfRule>
  </conditionalFormatting>
  <conditionalFormatting sqref="AM15:AM19">
    <cfRule type="cellIs" dxfId="1107" priority="837" operator="equal">
      <formula>"Rara vez"</formula>
    </cfRule>
  </conditionalFormatting>
  <conditionalFormatting sqref="AQ15">
    <cfRule type="cellIs" dxfId="1106" priority="832" operator="equal">
      <formula>"Catastrófico"</formula>
    </cfRule>
    <cfRule type="cellIs" dxfId="1105" priority="833" operator="equal">
      <formula>"Mayor"</formula>
    </cfRule>
    <cfRule type="cellIs" dxfId="1104" priority="834" operator="equal">
      <formula>"Moderado"</formula>
    </cfRule>
    <cfRule type="cellIs" dxfId="1103" priority="835" operator="equal">
      <formula>"Menor"</formula>
    </cfRule>
    <cfRule type="cellIs" dxfId="1102" priority="836" operator="equal">
      <formula>"Leve"</formula>
    </cfRule>
  </conditionalFormatting>
  <conditionalFormatting sqref="F20">
    <cfRule type="cellIs" dxfId="1101" priority="828" operator="equal">
      <formula>"Casi seguro"</formula>
    </cfRule>
    <cfRule type="cellIs" dxfId="1100" priority="829" operator="equal">
      <formula>"Probable"</formula>
    </cfRule>
    <cfRule type="cellIs" dxfId="1099" priority="830" operator="equal">
      <formula>"Posible"</formula>
    </cfRule>
    <cfRule type="cellIs" dxfId="1098" priority="831" operator="equal">
      <formula>"Improbable"</formula>
    </cfRule>
  </conditionalFormatting>
  <conditionalFormatting sqref="I20">
    <cfRule type="cellIs" dxfId="1097" priority="823" operator="equal">
      <formula>"Catastrófico"</formula>
    </cfRule>
    <cfRule type="cellIs" dxfId="1096" priority="824" operator="equal">
      <formula>"Mayor"</formula>
    </cfRule>
    <cfRule type="cellIs" dxfId="1095" priority="825" operator="equal">
      <formula>"Moderado"</formula>
    </cfRule>
    <cfRule type="cellIs" dxfId="1094" priority="826" operator="equal">
      <formula>"Menor"</formula>
    </cfRule>
    <cfRule type="cellIs" dxfId="1093" priority="827" operator="equal">
      <formula>"Leve"</formula>
    </cfRule>
  </conditionalFormatting>
  <conditionalFormatting sqref="J20">
    <cfRule type="cellIs" dxfId="1092" priority="818" operator="equal">
      <formula>"Muy Alta"</formula>
    </cfRule>
    <cfRule type="cellIs" dxfId="1091" priority="819" operator="equal">
      <formula>"Alta"</formula>
    </cfRule>
    <cfRule type="cellIs" dxfId="1090" priority="820" operator="equal">
      <formula>"Media"</formula>
    </cfRule>
    <cfRule type="cellIs" dxfId="1089" priority="821" operator="equal">
      <formula>"Baja"</formula>
    </cfRule>
    <cfRule type="cellIs" dxfId="1088" priority="822" operator="equal">
      <formula>"Muy Baja"</formula>
    </cfRule>
  </conditionalFormatting>
  <conditionalFormatting sqref="K20">
    <cfRule type="cellIs" dxfId="1087" priority="814" operator="equal">
      <formula>"Extremo"</formula>
    </cfRule>
    <cfRule type="cellIs" dxfId="1086" priority="815" operator="equal">
      <formula>"Alto"</formula>
    </cfRule>
    <cfRule type="cellIs" dxfId="1085" priority="816" operator="equal">
      <formula>"Moderado"</formula>
    </cfRule>
    <cfRule type="cellIs" dxfId="1084" priority="817" operator="equal">
      <formula>"Bajo"</formula>
    </cfRule>
  </conditionalFormatting>
  <conditionalFormatting sqref="AR20">
    <cfRule type="containsText" dxfId="1083" priority="811" operator="containsText" text="Alto">
      <formula>NOT(ISERROR(SEARCH("Alto",AR20)))</formula>
    </cfRule>
    <cfRule type="containsText" dxfId="1082" priority="812" stopIfTrue="1" operator="containsText" text="Moderado">
      <formula>NOT(ISERROR(SEARCH("Moderado",AR20)))</formula>
    </cfRule>
    <cfRule type="containsText" dxfId="1081" priority="813" operator="containsText" text="Extremo">
      <formula>NOT(ISERROR(SEARCH("Extremo",AR20)))</formula>
    </cfRule>
  </conditionalFormatting>
  <conditionalFormatting sqref="G20">
    <cfRule type="cellIs" dxfId="1080" priority="806" operator="equal">
      <formula>"Muy Alta"</formula>
    </cfRule>
    <cfRule type="cellIs" dxfId="1079" priority="807" operator="equal">
      <formula>"Alta"</formula>
    </cfRule>
    <cfRule type="cellIs" dxfId="1078" priority="808" operator="equal">
      <formula>"Media"</formula>
    </cfRule>
    <cfRule type="cellIs" dxfId="1077" priority="809" operator="equal">
      <formula>"Baja"</formula>
    </cfRule>
    <cfRule type="cellIs" dxfId="1076" priority="810" operator="equal">
      <formula>"Muy Baja"</formula>
    </cfRule>
  </conditionalFormatting>
  <conditionalFormatting sqref="F20:F24">
    <cfRule type="cellIs" dxfId="1075" priority="805" operator="equal">
      <formula>"Rara vez"</formula>
    </cfRule>
  </conditionalFormatting>
  <conditionalFormatting sqref="AM20">
    <cfRule type="cellIs" dxfId="1074" priority="801" operator="equal">
      <formula>"Casi seguro"</formula>
    </cfRule>
    <cfRule type="cellIs" dxfId="1073" priority="802" operator="equal">
      <formula>"Probable"</formula>
    </cfRule>
    <cfRule type="cellIs" dxfId="1072" priority="803" operator="equal">
      <formula>"Posible"</formula>
    </cfRule>
    <cfRule type="cellIs" dxfId="1071" priority="804" operator="equal">
      <formula>"Improbable"</formula>
    </cfRule>
  </conditionalFormatting>
  <conditionalFormatting sqref="AM20:AM24">
    <cfRule type="cellIs" dxfId="1070" priority="800" operator="equal">
      <formula>"Rara vez"</formula>
    </cfRule>
  </conditionalFormatting>
  <conditionalFormatting sqref="AQ20">
    <cfRule type="cellIs" dxfId="1069" priority="795" operator="equal">
      <formula>"Catastrófico"</formula>
    </cfRule>
    <cfRule type="cellIs" dxfId="1068" priority="796" operator="equal">
      <formula>"Mayor"</formula>
    </cfRule>
    <cfRule type="cellIs" dxfId="1067" priority="797" operator="equal">
      <formula>"Moderado"</formula>
    </cfRule>
    <cfRule type="cellIs" dxfId="1066" priority="798" operator="equal">
      <formula>"Menor"</formula>
    </cfRule>
    <cfRule type="cellIs" dxfId="1065" priority="799" operator="equal">
      <formula>"Leve"</formula>
    </cfRule>
  </conditionalFormatting>
  <conditionalFormatting sqref="F25">
    <cfRule type="cellIs" dxfId="1064" priority="754" operator="equal">
      <formula>"Casi seguro"</formula>
    </cfRule>
    <cfRule type="cellIs" dxfId="1063" priority="755" operator="equal">
      <formula>"Probable"</formula>
    </cfRule>
    <cfRule type="cellIs" dxfId="1062" priority="756" operator="equal">
      <formula>"Posible"</formula>
    </cfRule>
    <cfRule type="cellIs" dxfId="1061" priority="757" operator="equal">
      <formula>"Improbable"</formula>
    </cfRule>
  </conditionalFormatting>
  <conditionalFormatting sqref="I25">
    <cfRule type="cellIs" dxfId="1060" priority="749" operator="equal">
      <formula>"Catastrófico"</formula>
    </cfRule>
    <cfRule type="cellIs" dxfId="1059" priority="750" operator="equal">
      <formula>"Mayor"</formula>
    </cfRule>
    <cfRule type="cellIs" dxfId="1058" priority="751" operator="equal">
      <formula>"Moderado"</formula>
    </cfRule>
    <cfRule type="cellIs" dxfId="1057" priority="752" operator="equal">
      <formula>"Menor"</formula>
    </cfRule>
    <cfRule type="cellIs" dxfId="1056" priority="753" operator="equal">
      <formula>"Leve"</formula>
    </cfRule>
  </conditionalFormatting>
  <conditionalFormatting sqref="J25">
    <cfRule type="cellIs" dxfId="1055" priority="744" operator="equal">
      <formula>"Muy Alta"</formula>
    </cfRule>
    <cfRule type="cellIs" dxfId="1054" priority="745" operator="equal">
      <formula>"Alta"</formula>
    </cfRule>
    <cfRule type="cellIs" dxfId="1053" priority="746" operator="equal">
      <formula>"Media"</formula>
    </cfRule>
    <cfRule type="cellIs" dxfId="1052" priority="747" operator="equal">
      <formula>"Baja"</formula>
    </cfRule>
    <cfRule type="cellIs" dxfId="1051" priority="748" operator="equal">
      <formula>"Muy Baja"</formula>
    </cfRule>
  </conditionalFormatting>
  <conditionalFormatting sqref="K25">
    <cfRule type="cellIs" dxfId="1050" priority="740" operator="equal">
      <formula>"Extremo"</formula>
    </cfRule>
    <cfRule type="cellIs" dxfId="1049" priority="741" operator="equal">
      <formula>"Alto"</formula>
    </cfRule>
    <cfRule type="cellIs" dxfId="1048" priority="742" operator="equal">
      <formula>"Moderado"</formula>
    </cfRule>
    <cfRule type="cellIs" dxfId="1047" priority="743" operator="equal">
      <formula>"Bajo"</formula>
    </cfRule>
  </conditionalFormatting>
  <conditionalFormatting sqref="AR25">
    <cfRule type="containsText" dxfId="1046" priority="737" operator="containsText" text="Alto">
      <formula>NOT(ISERROR(SEARCH("Alto",AR25)))</formula>
    </cfRule>
    <cfRule type="containsText" dxfId="1045" priority="738" stopIfTrue="1" operator="containsText" text="Moderado">
      <formula>NOT(ISERROR(SEARCH("Moderado",AR25)))</formula>
    </cfRule>
    <cfRule type="containsText" dxfId="1044" priority="739" operator="containsText" text="Extremo">
      <formula>NOT(ISERROR(SEARCH("Extremo",AR25)))</formula>
    </cfRule>
  </conditionalFormatting>
  <conditionalFormatting sqref="G25">
    <cfRule type="cellIs" dxfId="1043" priority="732" operator="equal">
      <formula>"Muy Alta"</formula>
    </cfRule>
    <cfRule type="cellIs" dxfId="1042" priority="733" operator="equal">
      <formula>"Alta"</formula>
    </cfRule>
    <cfRule type="cellIs" dxfId="1041" priority="734" operator="equal">
      <formula>"Media"</formula>
    </cfRule>
    <cfRule type="cellIs" dxfId="1040" priority="735" operator="equal">
      <formula>"Baja"</formula>
    </cfRule>
    <cfRule type="cellIs" dxfId="1039" priority="736" operator="equal">
      <formula>"Muy Baja"</formula>
    </cfRule>
  </conditionalFormatting>
  <conditionalFormatting sqref="F25:F29">
    <cfRule type="cellIs" dxfId="1038" priority="731" operator="equal">
      <formula>"Rara vez"</formula>
    </cfRule>
  </conditionalFormatting>
  <conditionalFormatting sqref="AM25">
    <cfRule type="cellIs" dxfId="1037" priority="727" operator="equal">
      <formula>"Casi seguro"</formula>
    </cfRule>
    <cfRule type="cellIs" dxfId="1036" priority="728" operator="equal">
      <formula>"Probable"</formula>
    </cfRule>
    <cfRule type="cellIs" dxfId="1035" priority="729" operator="equal">
      <formula>"Posible"</formula>
    </cfRule>
    <cfRule type="cellIs" dxfId="1034" priority="730" operator="equal">
      <formula>"Improbable"</formula>
    </cfRule>
  </conditionalFormatting>
  <conditionalFormatting sqref="AM25:AM29">
    <cfRule type="cellIs" dxfId="1033" priority="726" operator="equal">
      <formula>"Rara vez"</formula>
    </cfRule>
  </conditionalFormatting>
  <conditionalFormatting sqref="AQ25">
    <cfRule type="cellIs" dxfId="1032" priority="721" operator="equal">
      <formula>"Catastrófico"</formula>
    </cfRule>
    <cfRule type="cellIs" dxfId="1031" priority="722" operator="equal">
      <formula>"Mayor"</formula>
    </cfRule>
    <cfRule type="cellIs" dxfId="1030" priority="723" operator="equal">
      <formula>"Moderado"</formula>
    </cfRule>
    <cfRule type="cellIs" dxfId="1029" priority="724" operator="equal">
      <formula>"Menor"</formula>
    </cfRule>
    <cfRule type="cellIs" dxfId="1028" priority="725" operator="equal">
      <formula>"Leve"</formula>
    </cfRule>
  </conditionalFormatting>
  <conditionalFormatting sqref="F50">
    <cfRule type="cellIs" dxfId="1027" priority="653" operator="equal">
      <formula>"Casi seguro"</formula>
    </cfRule>
    <cfRule type="cellIs" dxfId="1026" priority="654" operator="equal">
      <formula>"Probable"</formula>
    </cfRule>
    <cfRule type="cellIs" dxfId="1025" priority="655" operator="equal">
      <formula>"Posible"</formula>
    </cfRule>
    <cfRule type="cellIs" dxfId="1024" priority="656" operator="equal">
      <formula>"Improbable"</formula>
    </cfRule>
  </conditionalFormatting>
  <conditionalFormatting sqref="I50">
    <cfRule type="cellIs" dxfId="1023" priority="648" operator="equal">
      <formula>"Catastrófico"</formula>
    </cfRule>
    <cfRule type="cellIs" dxfId="1022" priority="649" operator="equal">
      <formula>"Mayor"</formula>
    </cfRule>
    <cfRule type="cellIs" dxfId="1021" priority="650" operator="equal">
      <formula>"Moderado"</formula>
    </cfRule>
    <cfRule type="cellIs" dxfId="1020" priority="651" operator="equal">
      <formula>"Menor"</formula>
    </cfRule>
    <cfRule type="cellIs" dxfId="1019" priority="652" operator="equal">
      <formula>"Leve"</formula>
    </cfRule>
  </conditionalFormatting>
  <conditionalFormatting sqref="J50">
    <cfRule type="cellIs" dxfId="1018" priority="643" operator="equal">
      <formula>"Muy Alta"</formula>
    </cfRule>
    <cfRule type="cellIs" dxfId="1017" priority="644" operator="equal">
      <formula>"Alta"</formula>
    </cfRule>
    <cfRule type="cellIs" dxfId="1016" priority="645" operator="equal">
      <formula>"Media"</formula>
    </cfRule>
    <cfRule type="cellIs" dxfId="1015" priority="646" operator="equal">
      <formula>"Baja"</formula>
    </cfRule>
    <cfRule type="cellIs" dxfId="1014" priority="647" operator="equal">
      <formula>"Muy Baja"</formula>
    </cfRule>
  </conditionalFormatting>
  <conditionalFormatting sqref="K50">
    <cfRule type="cellIs" dxfId="1013" priority="639" operator="equal">
      <formula>"Extremo"</formula>
    </cfRule>
    <cfRule type="cellIs" dxfId="1012" priority="640" operator="equal">
      <formula>"Alto"</formula>
    </cfRule>
    <cfRule type="cellIs" dxfId="1011" priority="641" operator="equal">
      <formula>"Moderado"</formula>
    </cfRule>
    <cfRule type="cellIs" dxfId="1010" priority="642" operator="equal">
      <formula>"Bajo"</formula>
    </cfRule>
  </conditionalFormatting>
  <conditionalFormatting sqref="AR50">
    <cfRule type="containsText" dxfId="1009" priority="636" operator="containsText" text="Alto">
      <formula>NOT(ISERROR(SEARCH("Alto",AR50)))</formula>
    </cfRule>
    <cfRule type="containsText" dxfId="1008" priority="637" stopIfTrue="1" operator="containsText" text="Moderado">
      <formula>NOT(ISERROR(SEARCH("Moderado",AR50)))</formula>
    </cfRule>
    <cfRule type="containsText" dxfId="1007" priority="638" operator="containsText" text="Extremo">
      <formula>NOT(ISERROR(SEARCH("Extremo",AR50)))</formula>
    </cfRule>
  </conditionalFormatting>
  <conditionalFormatting sqref="G50">
    <cfRule type="cellIs" dxfId="1006" priority="631" operator="equal">
      <formula>"Muy Alta"</formula>
    </cfRule>
    <cfRule type="cellIs" dxfId="1005" priority="632" operator="equal">
      <formula>"Alta"</formula>
    </cfRule>
    <cfRule type="cellIs" dxfId="1004" priority="633" operator="equal">
      <formula>"Media"</formula>
    </cfRule>
    <cfRule type="cellIs" dxfId="1003" priority="634" operator="equal">
      <formula>"Baja"</formula>
    </cfRule>
    <cfRule type="cellIs" dxfId="1002" priority="635" operator="equal">
      <formula>"Muy Baja"</formula>
    </cfRule>
  </conditionalFormatting>
  <conditionalFormatting sqref="F50:F54">
    <cfRule type="cellIs" dxfId="1001" priority="630" operator="equal">
      <formula>"Rara vez"</formula>
    </cfRule>
  </conditionalFormatting>
  <conditionalFormatting sqref="F55">
    <cfRule type="cellIs" dxfId="1000" priority="616" operator="equal">
      <formula>"Casi seguro"</formula>
    </cfRule>
    <cfRule type="cellIs" dxfId="999" priority="617" operator="equal">
      <formula>"Probable"</formula>
    </cfRule>
    <cfRule type="cellIs" dxfId="998" priority="618" operator="equal">
      <formula>"Posible"</formula>
    </cfRule>
    <cfRule type="cellIs" dxfId="997" priority="619" operator="equal">
      <formula>"Improbable"</formula>
    </cfRule>
  </conditionalFormatting>
  <conditionalFormatting sqref="I55">
    <cfRule type="cellIs" dxfId="996" priority="611" operator="equal">
      <formula>"Catastrófico"</formula>
    </cfRule>
    <cfRule type="cellIs" dxfId="995" priority="612" operator="equal">
      <formula>"Mayor"</formula>
    </cfRule>
    <cfRule type="cellIs" dxfId="994" priority="613" operator="equal">
      <formula>"Moderado"</formula>
    </cfRule>
    <cfRule type="cellIs" dxfId="993" priority="614" operator="equal">
      <formula>"Menor"</formula>
    </cfRule>
    <cfRule type="cellIs" dxfId="992" priority="615" operator="equal">
      <formula>"Leve"</formula>
    </cfRule>
  </conditionalFormatting>
  <conditionalFormatting sqref="J55">
    <cfRule type="cellIs" dxfId="991" priority="606" operator="equal">
      <formula>"Muy Alta"</formula>
    </cfRule>
    <cfRule type="cellIs" dxfId="990" priority="607" operator="equal">
      <formula>"Alta"</formula>
    </cfRule>
    <cfRule type="cellIs" dxfId="989" priority="608" operator="equal">
      <formula>"Media"</formula>
    </cfRule>
    <cfRule type="cellIs" dxfId="988" priority="609" operator="equal">
      <formula>"Baja"</formula>
    </cfRule>
    <cfRule type="cellIs" dxfId="987" priority="610" operator="equal">
      <formula>"Muy Baja"</formula>
    </cfRule>
  </conditionalFormatting>
  <conditionalFormatting sqref="K55">
    <cfRule type="cellIs" dxfId="986" priority="602" operator="equal">
      <formula>"Extremo"</formula>
    </cfRule>
    <cfRule type="cellIs" dxfId="985" priority="603" operator="equal">
      <formula>"Alto"</formula>
    </cfRule>
    <cfRule type="cellIs" dxfId="984" priority="604" operator="equal">
      <formula>"Moderado"</formula>
    </cfRule>
    <cfRule type="cellIs" dxfId="983" priority="605" operator="equal">
      <formula>"Bajo"</formula>
    </cfRule>
  </conditionalFormatting>
  <conditionalFormatting sqref="AR55">
    <cfRule type="containsText" dxfId="982" priority="599" operator="containsText" text="Alto">
      <formula>NOT(ISERROR(SEARCH("Alto",AR55)))</formula>
    </cfRule>
    <cfRule type="containsText" dxfId="981" priority="600" stopIfTrue="1" operator="containsText" text="Moderado">
      <formula>NOT(ISERROR(SEARCH("Moderado",AR55)))</formula>
    </cfRule>
    <cfRule type="containsText" dxfId="980" priority="601" operator="containsText" text="Extremo">
      <formula>NOT(ISERROR(SEARCH("Extremo",AR55)))</formula>
    </cfRule>
  </conditionalFormatting>
  <conditionalFormatting sqref="G55">
    <cfRule type="cellIs" dxfId="979" priority="594" operator="equal">
      <formula>"Muy Alta"</formula>
    </cfRule>
    <cfRule type="cellIs" dxfId="978" priority="595" operator="equal">
      <formula>"Alta"</formula>
    </cfRule>
    <cfRule type="cellIs" dxfId="977" priority="596" operator="equal">
      <formula>"Media"</formula>
    </cfRule>
    <cfRule type="cellIs" dxfId="976" priority="597" operator="equal">
      <formula>"Baja"</formula>
    </cfRule>
    <cfRule type="cellIs" dxfId="975" priority="598" operator="equal">
      <formula>"Muy Baja"</formula>
    </cfRule>
  </conditionalFormatting>
  <conditionalFormatting sqref="F55:F59">
    <cfRule type="cellIs" dxfId="974" priority="593" operator="equal">
      <formula>"Rara vez"</formula>
    </cfRule>
  </conditionalFormatting>
  <conditionalFormatting sqref="AM50">
    <cfRule type="cellIs" dxfId="973" priority="626" operator="equal">
      <formula>"Casi seguro"</formula>
    </cfRule>
    <cfRule type="cellIs" dxfId="972" priority="627" operator="equal">
      <formula>"Probable"</formula>
    </cfRule>
    <cfRule type="cellIs" dxfId="971" priority="628" operator="equal">
      <formula>"Posible"</formula>
    </cfRule>
    <cfRule type="cellIs" dxfId="970" priority="629" operator="equal">
      <formula>"Improbable"</formula>
    </cfRule>
  </conditionalFormatting>
  <conditionalFormatting sqref="AM50:AM54">
    <cfRule type="cellIs" dxfId="969" priority="625" operator="equal">
      <formula>"Rara vez"</formula>
    </cfRule>
  </conditionalFormatting>
  <conditionalFormatting sqref="AQ50">
    <cfRule type="cellIs" dxfId="968" priority="620" operator="equal">
      <formula>"Catastrófico"</formula>
    </cfRule>
    <cfRule type="cellIs" dxfId="967" priority="621" operator="equal">
      <formula>"Mayor"</formula>
    </cfRule>
    <cfRule type="cellIs" dxfId="966" priority="622" operator="equal">
      <formula>"Moderado"</formula>
    </cfRule>
    <cfRule type="cellIs" dxfId="965" priority="623" operator="equal">
      <formula>"Menor"</formula>
    </cfRule>
    <cfRule type="cellIs" dxfId="964" priority="624" operator="equal">
      <formula>"Leve"</formula>
    </cfRule>
  </conditionalFormatting>
  <conditionalFormatting sqref="AM55">
    <cfRule type="cellIs" dxfId="963" priority="589" operator="equal">
      <formula>"Casi seguro"</formula>
    </cfRule>
    <cfRule type="cellIs" dxfId="962" priority="590" operator="equal">
      <formula>"Probable"</formula>
    </cfRule>
    <cfRule type="cellIs" dxfId="961" priority="591" operator="equal">
      <formula>"Posible"</formula>
    </cfRule>
    <cfRule type="cellIs" dxfId="960" priority="592" operator="equal">
      <formula>"Improbable"</formula>
    </cfRule>
  </conditionalFormatting>
  <conditionalFormatting sqref="AM55:AM59">
    <cfRule type="cellIs" dxfId="959" priority="588" operator="equal">
      <formula>"Rara vez"</formula>
    </cfRule>
  </conditionalFormatting>
  <conditionalFormatting sqref="AQ55">
    <cfRule type="cellIs" dxfId="958" priority="583" operator="equal">
      <formula>"Catastrófico"</formula>
    </cfRule>
    <cfRule type="cellIs" dxfId="957" priority="584" operator="equal">
      <formula>"Mayor"</formula>
    </cfRule>
    <cfRule type="cellIs" dxfId="956" priority="585" operator="equal">
      <formula>"Moderado"</formula>
    </cfRule>
    <cfRule type="cellIs" dxfId="955" priority="586" operator="equal">
      <formula>"Menor"</formula>
    </cfRule>
    <cfRule type="cellIs" dxfId="954" priority="587" operator="equal">
      <formula>"Leve"</formula>
    </cfRule>
  </conditionalFormatting>
  <conditionalFormatting sqref="F60">
    <cfRule type="cellIs" dxfId="953" priority="579" operator="equal">
      <formula>"Casi seguro"</formula>
    </cfRule>
    <cfRule type="cellIs" dxfId="952" priority="580" operator="equal">
      <formula>"Probable"</formula>
    </cfRule>
    <cfRule type="cellIs" dxfId="951" priority="581" operator="equal">
      <formula>"Posible"</formula>
    </cfRule>
    <cfRule type="cellIs" dxfId="950" priority="582" operator="equal">
      <formula>"Improbable"</formula>
    </cfRule>
  </conditionalFormatting>
  <conditionalFormatting sqref="I60">
    <cfRule type="cellIs" dxfId="949" priority="574" operator="equal">
      <formula>"Catastrófico"</formula>
    </cfRule>
    <cfRule type="cellIs" dxfId="948" priority="575" operator="equal">
      <formula>"Mayor"</formula>
    </cfRule>
    <cfRule type="cellIs" dxfId="947" priority="576" operator="equal">
      <formula>"Moderado"</formula>
    </cfRule>
    <cfRule type="cellIs" dxfId="946" priority="577" operator="equal">
      <formula>"Menor"</formula>
    </cfRule>
    <cfRule type="cellIs" dxfId="945" priority="578" operator="equal">
      <formula>"Leve"</formula>
    </cfRule>
  </conditionalFormatting>
  <conditionalFormatting sqref="J60">
    <cfRule type="cellIs" dxfId="944" priority="569" operator="equal">
      <formula>"Muy Alta"</formula>
    </cfRule>
    <cfRule type="cellIs" dxfId="943" priority="570" operator="equal">
      <formula>"Alta"</formula>
    </cfRule>
    <cfRule type="cellIs" dxfId="942" priority="571" operator="equal">
      <formula>"Media"</formula>
    </cfRule>
    <cfRule type="cellIs" dxfId="941" priority="572" operator="equal">
      <formula>"Baja"</formula>
    </cfRule>
    <cfRule type="cellIs" dxfId="940" priority="573" operator="equal">
      <formula>"Muy Baja"</formula>
    </cfRule>
  </conditionalFormatting>
  <conditionalFormatting sqref="K60">
    <cfRule type="cellIs" dxfId="939" priority="565" operator="equal">
      <formula>"Extremo"</formula>
    </cfRule>
    <cfRule type="cellIs" dxfId="938" priority="566" operator="equal">
      <formula>"Alto"</formula>
    </cfRule>
    <cfRule type="cellIs" dxfId="937" priority="567" operator="equal">
      <formula>"Moderado"</formula>
    </cfRule>
    <cfRule type="cellIs" dxfId="936" priority="568" operator="equal">
      <formula>"Bajo"</formula>
    </cfRule>
  </conditionalFormatting>
  <conditionalFormatting sqref="AR60">
    <cfRule type="containsText" dxfId="935" priority="562" operator="containsText" text="Alto">
      <formula>NOT(ISERROR(SEARCH("Alto",AR60)))</formula>
    </cfRule>
    <cfRule type="containsText" dxfId="934" priority="563" stopIfTrue="1" operator="containsText" text="Moderado">
      <formula>NOT(ISERROR(SEARCH("Moderado",AR60)))</formula>
    </cfRule>
    <cfRule type="containsText" dxfId="933" priority="564" operator="containsText" text="Extremo">
      <formula>NOT(ISERROR(SEARCH("Extremo",AR60)))</formula>
    </cfRule>
  </conditionalFormatting>
  <conditionalFormatting sqref="G60">
    <cfRule type="cellIs" dxfId="932" priority="557" operator="equal">
      <formula>"Muy Alta"</formula>
    </cfRule>
    <cfRule type="cellIs" dxfId="931" priority="558" operator="equal">
      <formula>"Alta"</formula>
    </cfRule>
    <cfRule type="cellIs" dxfId="930" priority="559" operator="equal">
      <formula>"Media"</formula>
    </cfRule>
    <cfRule type="cellIs" dxfId="929" priority="560" operator="equal">
      <formula>"Baja"</formula>
    </cfRule>
    <cfRule type="cellIs" dxfId="928" priority="561" operator="equal">
      <formula>"Muy Baja"</formula>
    </cfRule>
  </conditionalFormatting>
  <conditionalFormatting sqref="F60:F64">
    <cfRule type="cellIs" dxfId="927" priority="556" operator="equal">
      <formula>"Rara vez"</formula>
    </cfRule>
  </conditionalFormatting>
  <conditionalFormatting sqref="AM60">
    <cfRule type="cellIs" dxfId="926" priority="552" operator="equal">
      <formula>"Casi seguro"</formula>
    </cfRule>
    <cfRule type="cellIs" dxfId="925" priority="553" operator="equal">
      <formula>"Probable"</formula>
    </cfRule>
    <cfRule type="cellIs" dxfId="924" priority="554" operator="equal">
      <formula>"Posible"</formula>
    </cfRule>
    <cfRule type="cellIs" dxfId="923" priority="555" operator="equal">
      <formula>"Improbable"</formula>
    </cfRule>
  </conditionalFormatting>
  <conditionalFormatting sqref="AM60:AM64">
    <cfRule type="cellIs" dxfId="922" priority="551" operator="equal">
      <formula>"Rara vez"</formula>
    </cfRule>
  </conditionalFormatting>
  <conditionalFormatting sqref="AQ60">
    <cfRule type="cellIs" dxfId="921" priority="546" operator="equal">
      <formula>"Catastrófico"</formula>
    </cfRule>
    <cfRule type="cellIs" dxfId="920" priority="547" operator="equal">
      <formula>"Mayor"</formula>
    </cfRule>
    <cfRule type="cellIs" dxfId="919" priority="548" operator="equal">
      <formula>"Moderado"</formula>
    </cfRule>
    <cfRule type="cellIs" dxfId="918" priority="549" operator="equal">
      <formula>"Menor"</formula>
    </cfRule>
    <cfRule type="cellIs" dxfId="917" priority="550" operator="equal">
      <formula>"Leve"</formula>
    </cfRule>
  </conditionalFormatting>
  <conditionalFormatting sqref="F90">
    <cfRule type="cellIs" dxfId="916" priority="542" operator="equal">
      <formula>"Casi seguro"</formula>
    </cfRule>
    <cfRule type="cellIs" dxfId="915" priority="543" operator="equal">
      <formula>"Probable"</formula>
    </cfRule>
    <cfRule type="cellIs" dxfId="914" priority="544" operator="equal">
      <formula>"Posible"</formula>
    </cfRule>
    <cfRule type="cellIs" dxfId="913" priority="545" operator="equal">
      <formula>"Improbable"</formula>
    </cfRule>
  </conditionalFormatting>
  <conditionalFormatting sqref="I90">
    <cfRule type="cellIs" dxfId="912" priority="537" operator="equal">
      <formula>"Catastrófico"</formula>
    </cfRule>
    <cfRule type="cellIs" dxfId="911" priority="538" operator="equal">
      <formula>"Mayor"</formula>
    </cfRule>
    <cfRule type="cellIs" dxfId="910" priority="539" operator="equal">
      <formula>"Moderado"</formula>
    </cfRule>
    <cfRule type="cellIs" dxfId="909" priority="540" operator="equal">
      <formula>"Menor"</formula>
    </cfRule>
    <cfRule type="cellIs" dxfId="908" priority="541" operator="equal">
      <formula>"Leve"</formula>
    </cfRule>
  </conditionalFormatting>
  <conditionalFormatting sqref="J90">
    <cfRule type="cellIs" dxfId="907" priority="532" operator="equal">
      <formula>"Muy Alta"</formula>
    </cfRule>
    <cfRule type="cellIs" dxfId="906" priority="533" operator="equal">
      <formula>"Alta"</formula>
    </cfRule>
    <cfRule type="cellIs" dxfId="905" priority="534" operator="equal">
      <formula>"Media"</formula>
    </cfRule>
    <cfRule type="cellIs" dxfId="904" priority="535" operator="equal">
      <formula>"Baja"</formula>
    </cfRule>
    <cfRule type="cellIs" dxfId="903" priority="536" operator="equal">
      <formula>"Muy Baja"</formula>
    </cfRule>
  </conditionalFormatting>
  <conditionalFormatting sqref="K90">
    <cfRule type="cellIs" dxfId="902" priority="528" operator="equal">
      <formula>"Extremo"</formula>
    </cfRule>
    <cfRule type="cellIs" dxfId="901" priority="529" operator="equal">
      <formula>"Alto"</formula>
    </cfRule>
    <cfRule type="cellIs" dxfId="900" priority="530" operator="equal">
      <formula>"Moderado"</formula>
    </cfRule>
    <cfRule type="cellIs" dxfId="899" priority="531" operator="equal">
      <formula>"Bajo"</formula>
    </cfRule>
  </conditionalFormatting>
  <conditionalFormatting sqref="AR90">
    <cfRule type="containsText" dxfId="898" priority="525" operator="containsText" text="Alto">
      <formula>NOT(ISERROR(SEARCH("Alto",AR90)))</formula>
    </cfRule>
    <cfRule type="containsText" dxfId="897" priority="526" stopIfTrue="1" operator="containsText" text="Moderado">
      <formula>NOT(ISERROR(SEARCH("Moderado",AR90)))</formula>
    </cfRule>
    <cfRule type="containsText" dxfId="896" priority="527" operator="containsText" text="Extremo">
      <formula>NOT(ISERROR(SEARCH("Extremo",AR90)))</formula>
    </cfRule>
  </conditionalFormatting>
  <conditionalFormatting sqref="G90">
    <cfRule type="cellIs" dxfId="895" priority="520" operator="equal">
      <formula>"Muy Alta"</formula>
    </cfRule>
    <cfRule type="cellIs" dxfId="894" priority="521" operator="equal">
      <formula>"Alta"</formula>
    </cfRule>
    <cfRule type="cellIs" dxfId="893" priority="522" operator="equal">
      <formula>"Media"</formula>
    </cfRule>
    <cfRule type="cellIs" dxfId="892" priority="523" operator="equal">
      <formula>"Baja"</formula>
    </cfRule>
    <cfRule type="cellIs" dxfId="891" priority="524" operator="equal">
      <formula>"Muy Baja"</formula>
    </cfRule>
  </conditionalFormatting>
  <conditionalFormatting sqref="F90:F94">
    <cfRule type="cellIs" dxfId="890" priority="519" operator="equal">
      <formula>"Rara vez"</formula>
    </cfRule>
  </conditionalFormatting>
  <conditionalFormatting sqref="AM90">
    <cfRule type="cellIs" dxfId="889" priority="515" operator="equal">
      <formula>"Casi seguro"</formula>
    </cfRule>
    <cfRule type="cellIs" dxfId="888" priority="516" operator="equal">
      <formula>"Probable"</formula>
    </cfRule>
    <cfRule type="cellIs" dxfId="887" priority="517" operator="equal">
      <formula>"Posible"</formula>
    </cfRule>
    <cfRule type="cellIs" dxfId="886" priority="518" operator="equal">
      <formula>"Improbable"</formula>
    </cfRule>
  </conditionalFormatting>
  <conditionalFormatting sqref="AM90:AM94">
    <cfRule type="cellIs" dxfId="885" priority="514" operator="equal">
      <formula>"Rara vez"</formula>
    </cfRule>
  </conditionalFormatting>
  <conditionalFormatting sqref="AQ90">
    <cfRule type="cellIs" dxfId="884" priority="509" operator="equal">
      <formula>"Catastrófico"</formula>
    </cfRule>
    <cfRule type="cellIs" dxfId="883" priority="510" operator="equal">
      <formula>"Mayor"</formula>
    </cfRule>
    <cfRule type="cellIs" dxfId="882" priority="511" operator="equal">
      <formula>"Moderado"</formula>
    </cfRule>
    <cfRule type="cellIs" dxfId="881" priority="512" operator="equal">
      <formula>"Menor"</formula>
    </cfRule>
    <cfRule type="cellIs" dxfId="880" priority="513" operator="equal">
      <formula>"Leve"</formula>
    </cfRule>
  </conditionalFormatting>
  <conditionalFormatting sqref="F95">
    <cfRule type="cellIs" dxfId="879" priority="505" operator="equal">
      <formula>"Casi seguro"</formula>
    </cfRule>
    <cfRule type="cellIs" dxfId="878" priority="506" operator="equal">
      <formula>"Probable"</formula>
    </cfRule>
    <cfRule type="cellIs" dxfId="877" priority="507" operator="equal">
      <formula>"Posible"</formula>
    </cfRule>
    <cfRule type="cellIs" dxfId="876" priority="508" operator="equal">
      <formula>"Improbable"</formula>
    </cfRule>
  </conditionalFormatting>
  <conditionalFormatting sqref="I95">
    <cfRule type="cellIs" dxfId="875" priority="500" operator="equal">
      <formula>"Catastrófico"</formula>
    </cfRule>
    <cfRule type="cellIs" dxfId="874" priority="501" operator="equal">
      <formula>"Mayor"</formula>
    </cfRule>
    <cfRule type="cellIs" dxfId="873" priority="502" operator="equal">
      <formula>"Moderado"</formula>
    </cfRule>
    <cfRule type="cellIs" dxfId="872" priority="503" operator="equal">
      <formula>"Menor"</formula>
    </cfRule>
    <cfRule type="cellIs" dxfId="871" priority="504" operator="equal">
      <formula>"Leve"</formula>
    </cfRule>
  </conditionalFormatting>
  <conditionalFormatting sqref="J95">
    <cfRule type="cellIs" dxfId="870" priority="495" operator="equal">
      <formula>"Muy Alta"</formula>
    </cfRule>
    <cfRule type="cellIs" dxfId="869" priority="496" operator="equal">
      <formula>"Alta"</formula>
    </cfRule>
    <cfRule type="cellIs" dxfId="868" priority="497" operator="equal">
      <formula>"Media"</formula>
    </cfRule>
    <cfRule type="cellIs" dxfId="867" priority="498" operator="equal">
      <formula>"Baja"</formula>
    </cfRule>
    <cfRule type="cellIs" dxfId="866" priority="499" operator="equal">
      <formula>"Muy Baja"</formula>
    </cfRule>
  </conditionalFormatting>
  <conditionalFormatting sqref="K95">
    <cfRule type="cellIs" dxfId="865" priority="491" operator="equal">
      <formula>"Extremo"</formula>
    </cfRule>
    <cfRule type="cellIs" dxfId="864" priority="492" operator="equal">
      <formula>"Alto"</formula>
    </cfRule>
    <cfRule type="cellIs" dxfId="863" priority="493" operator="equal">
      <formula>"Moderado"</formula>
    </cfRule>
    <cfRule type="cellIs" dxfId="862" priority="494" operator="equal">
      <formula>"Bajo"</formula>
    </cfRule>
  </conditionalFormatting>
  <conditionalFormatting sqref="AR95">
    <cfRule type="containsText" dxfId="861" priority="488" operator="containsText" text="Alto">
      <formula>NOT(ISERROR(SEARCH("Alto",AR95)))</formula>
    </cfRule>
    <cfRule type="containsText" dxfId="860" priority="489" stopIfTrue="1" operator="containsText" text="Moderado">
      <formula>NOT(ISERROR(SEARCH("Moderado",AR95)))</formula>
    </cfRule>
    <cfRule type="containsText" dxfId="859" priority="490" operator="containsText" text="Extremo">
      <formula>NOT(ISERROR(SEARCH("Extremo",AR95)))</formula>
    </cfRule>
  </conditionalFormatting>
  <conditionalFormatting sqref="G95">
    <cfRule type="cellIs" dxfId="858" priority="483" operator="equal">
      <formula>"Muy Alta"</formula>
    </cfRule>
    <cfRule type="cellIs" dxfId="857" priority="484" operator="equal">
      <formula>"Alta"</formula>
    </cfRule>
    <cfRule type="cellIs" dxfId="856" priority="485" operator="equal">
      <formula>"Media"</formula>
    </cfRule>
    <cfRule type="cellIs" dxfId="855" priority="486" operator="equal">
      <formula>"Baja"</formula>
    </cfRule>
    <cfRule type="cellIs" dxfId="854" priority="487" operator="equal">
      <formula>"Muy Baja"</formula>
    </cfRule>
  </conditionalFormatting>
  <conditionalFormatting sqref="F95:F99">
    <cfRule type="cellIs" dxfId="853" priority="482" operator="equal">
      <formula>"Rara vez"</formula>
    </cfRule>
  </conditionalFormatting>
  <conditionalFormatting sqref="AM95">
    <cfRule type="cellIs" dxfId="852" priority="478" operator="equal">
      <formula>"Casi seguro"</formula>
    </cfRule>
    <cfRule type="cellIs" dxfId="851" priority="479" operator="equal">
      <formula>"Probable"</formula>
    </cfRule>
    <cfRule type="cellIs" dxfId="850" priority="480" operator="equal">
      <formula>"Posible"</formula>
    </cfRule>
    <cfRule type="cellIs" dxfId="849" priority="481" operator="equal">
      <formula>"Improbable"</formula>
    </cfRule>
  </conditionalFormatting>
  <conditionalFormatting sqref="AM95:AM99">
    <cfRule type="cellIs" dxfId="848" priority="477" operator="equal">
      <formula>"Rara vez"</formula>
    </cfRule>
  </conditionalFormatting>
  <conditionalFormatting sqref="AQ95">
    <cfRule type="cellIs" dxfId="847" priority="472" operator="equal">
      <formula>"Catastrófico"</formula>
    </cfRule>
    <cfRule type="cellIs" dxfId="846" priority="473" operator="equal">
      <formula>"Mayor"</formula>
    </cfRule>
    <cfRule type="cellIs" dxfId="845" priority="474" operator="equal">
      <formula>"Moderado"</formula>
    </cfRule>
    <cfRule type="cellIs" dxfId="844" priority="475" operator="equal">
      <formula>"Menor"</formula>
    </cfRule>
    <cfRule type="cellIs" dxfId="843" priority="476" operator="equal">
      <formula>"Leve"</formula>
    </cfRule>
  </conditionalFormatting>
  <conditionalFormatting sqref="F70">
    <cfRule type="cellIs" dxfId="842" priority="431" operator="equal">
      <formula>"Casi seguro"</formula>
    </cfRule>
    <cfRule type="cellIs" dxfId="841" priority="432" operator="equal">
      <formula>"Probable"</formula>
    </cfRule>
    <cfRule type="cellIs" dxfId="840" priority="433" operator="equal">
      <formula>"Posible"</formula>
    </cfRule>
    <cfRule type="cellIs" dxfId="839" priority="434" operator="equal">
      <formula>"Improbable"</formula>
    </cfRule>
  </conditionalFormatting>
  <conditionalFormatting sqref="AM70">
    <cfRule type="cellIs" dxfId="838" priority="404" operator="equal">
      <formula>"Casi seguro"</formula>
    </cfRule>
    <cfRule type="cellIs" dxfId="837" priority="405" operator="equal">
      <formula>"Probable"</formula>
    </cfRule>
    <cfRule type="cellIs" dxfId="836" priority="406" operator="equal">
      <formula>"Posible"</formula>
    </cfRule>
    <cfRule type="cellIs" dxfId="835" priority="407" operator="equal">
      <formula>"Improbable"</formula>
    </cfRule>
  </conditionalFormatting>
  <conditionalFormatting sqref="AM70:AM74">
    <cfRule type="cellIs" dxfId="834" priority="403" operator="equal">
      <formula>"Rara vez"</formula>
    </cfRule>
  </conditionalFormatting>
  <conditionalFormatting sqref="AQ70">
    <cfRule type="cellIs" dxfId="833" priority="398" operator="equal">
      <formula>"Catastrófico"</formula>
    </cfRule>
    <cfRule type="cellIs" dxfId="832" priority="399" operator="equal">
      <formula>"Mayor"</formula>
    </cfRule>
    <cfRule type="cellIs" dxfId="831" priority="400" operator="equal">
      <formula>"Moderado"</formula>
    </cfRule>
    <cfRule type="cellIs" dxfId="830" priority="401" operator="equal">
      <formula>"Menor"</formula>
    </cfRule>
    <cfRule type="cellIs" dxfId="829" priority="402" operator="equal">
      <formula>"Leve"</formula>
    </cfRule>
  </conditionalFormatting>
  <conditionalFormatting sqref="I70">
    <cfRule type="cellIs" dxfId="828" priority="426" operator="equal">
      <formula>"Catastrófico"</formula>
    </cfRule>
    <cfRule type="cellIs" dxfId="827" priority="427" operator="equal">
      <formula>"Mayor"</formula>
    </cfRule>
    <cfRule type="cellIs" dxfId="826" priority="428" operator="equal">
      <formula>"Moderado"</formula>
    </cfRule>
    <cfRule type="cellIs" dxfId="825" priority="429" operator="equal">
      <formula>"Menor"</formula>
    </cfRule>
    <cfRule type="cellIs" dxfId="824" priority="430" operator="equal">
      <formula>"Leve"</formula>
    </cfRule>
  </conditionalFormatting>
  <conditionalFormatting sqref="J70">
    <cfRule type="cellIs" dxfId="823" priority="421" operator="equal">
      <formula>"Muy Alta"</formula>
    </cfRule>
    <cfRule type="cellIs" dxfId="822" priority="422" operator="equal">
      <formula>"Alta"</formula>
    </cfRule>
    <cfRule type="cellIs" dxfId="821" priority="423" operator="equal">
      <formula>"Media"</formula>
    </cfRule>
    <cfRule type="cellIs" dxfId="820" priority="424" operator="equal">
      <formula>"Baja"</formula>
    </cfRule>
    <cfRule type="cellIs" dxfId="819" priority="425" operator="equal">
      <formula>"Muy Baja"</formula>
    </cfRule>
  </conditionalFormatting>
  <conditionalFormatting sqref="K70">
    <cfRule type="cellIs" dxfId="818" priority="417" operator="equal">
      <formula>"Extremo"</formula>
    </cfRule>
    <cfRule type="cellIs" dxfId="817" priority="418" operator="equal">
      <formula>"Alto"</formula>
    </cfRule>
    <cfRule type="cellIs" dxfId="816" priority="419" operator="equal">
      <formula>"Moderado"</formula>
    </cfRule>
    <cfRule type="cellIs" dxfId="815" priority="420" operator="equal">
      <formula>"Bajo"</formula>
    </cfRule>
  </conditionalFormatting>
  <conditionalFormatting sqref="AR70">
    <cfRule type="containsText" dxfId="814" priority="414" operator="containsText" text="Alto">
      <formula>NOT(ISERROR(SEARCH("Alto",AR70)))</formula>
    </cfRule>
    <cfRule type="containsText" dxfId="813" priority="415" stopIfTrue="1" operator="containsText" text="Moderado">
      <formula>NOT(ISERROR(SEARCH("Moderado",AR70)))</formula>
    </cfRule>
    <cfRule type="containsText" dxfId="812" priority="416" operator="containsText" text="Extremo">
      <formula>NOT(ISERROR(SEARCH("Extremo",AR70)))</formula>
    </cfRule>
  </conditionalFormatting>
  <conditionalFormatting sqref="G70">
    <cfRule type="cellIs" dxfId="811" priority="409" operator="equal">
      <formula>"Muy Alta"</formula>
    </cfRule>
    <cfRule type="cellIs" dxfId="810" priority="410" operator="equal">
      <formula>"Alta"</formula>
    </cfRule>
    <cfRule type="cellIs" dxfId="809" priority="411" operator="equal">
      <formula>"Media"</formula>
    </cfRule>
    <cfRule type="cellIs" dxfId="808" priority="412" operator="equal">
      <formula>"Baja"</formula>
    </cfRule>
    <cfRule type="cellIs" dxfId="807" priority="413" operator="equal">
      <formula>"Muy Baja"</formula>
    </cfRule>
  </conditionalFormatting>
  <conditionalFormatting sqref="F70:F74">
    <cfRule type="cellIs" dxfId="806" priority="408" operator="equal">
      <formula>"Rara vez"</formula>
    </cfRule>
  </conditionalFormatting>
  <conditionalFormatting sqref="F75">
    <cfRule type="cellIs" dxfId="805" priority="394" operator="equal">
      <formula>"Casi seguro"</formula>
    </cfRule>
    <cfRule type="cellIs" dxfId="804" priority="395" operator="equal">
      <formula>"Probable"</formula>
    </cfRule>
    <cfRule type="cellIs" dxfId="803" priority="396" operator="equal">
      <formula>"Posible"</formula>
    </cfRule>
    <cfRule type="cellIs" dxfId="802" priority="397" operator="equal">
      <formula>"Improbable"</formula>
    </cfRule>
  </conditionalFormatting>
  <conditionalFormatting sqref="I75">
    <cfRule type="cellIs" dxfId="801" priority="389" operator="equal">
      <formula>"Catastrófico"</formula>
    </cfRule>
    <cfRule type="cellIs" dxfId="800" priority="390" operator="equal">
      <formula>"Mayor"</formula>
    </cfRule>
    <cfRule type="cellIs" dxfId="799" priority="391" operator="equal">
      <formula>"Moderado"</formula>
    </cfRule>
    <cfRule type="cellIs" dxfId="798" priority="392" operator="equal">
      <formula>"Menor"</formula>
    </cfRule>
    <cfRule type="cellIs" dxfId="797" priority="393" operator="equal">
      <formula>"Leve"</formula>
    </cfRule>
  </conditionalFormatting>
  <conditionalFormatting sqref="J75">
    <cfRule type="cellIs" dxfId="796" priority="384" operator="equal">
      <formula>"Muy Alta"</formula>
    </cfRule>
    <cfRule type="cellIs" dxfId="795" priority="385" operator="equal">
      <formula>"Alta"</formula>
    </cfRule>
    <cfRule type="cellIs" dxfId="794" priority="386" operator="equal">
      <formula>"Media"</formula>
    </cfRule>
    <cfRule type="cellIs" dxfId="793" priority="387" operator="equal">
      <formula>"Baja"</formula>
    </cfRule>
    <cfRule type="cellIs" dxfId="792" priority="388" operator="equal">
      <formula>"Muy Baja"</formula>
    </cfRule>
  </conditionalFormatting>
  <conditionalFormatting sqref="K75">
    <cfRule type="cellIs" dxfId="791" priority="380" operator="equal">
      <formula>"Extremo"</formula>
    </cfRule>
    <cfRule type="cellIs" dxfId="790" priority="381" operator="equal">
      <formula>"Alto"</formula>
    </cfRule>
    <cfRule type="cellIs" dxfId="789" priority="382" operator="equal">
      <formula>"Moderado"</formula>
    </cfRule>
    <cfRule type="cellIs" dxfId="788" priority="383" operator="equal">
      <formula>"Bajo"</formula>
    </cfRule>
  </conditionalFormatting>
  <conditionalFormatting sqref="AR75">
    <cfRule type="containsText" dxfId="787" priority="377" operator="containsText" text="Alto">
      <formula>NOT(ISERROR(SEARCH("Alto",AR75)))</formula>
    </cfRule>
    <cfRule type="containsText" dxfId="786" priority="378" stopIfTrue="1" operator="containsText" text="Moderado">
      <formula>NOT(ISERROR(SEARCH("Moderado",AR75)))</formula>
    </cfRule>
    <cfRule type="containsText" dxfId="785" priority="379" operator="containsText" text="Extremo">
      <formula>NOT(ISERROR(SEARCH("Extremo",AR75)))</formula>
    </cfRule>
  </conditionalFormatting>
  <conditionalFormatting sqref="G75">
    <cfRule type="cellIs" dxfId="784" priority="372" operator="equal">
      <formula>"Muy Alta"</formula>
    </cfRule>
    <cfRule type="cellIs" dxfId="783" priority="373" operator="equal">
      <formula>"Alta"</formula>
    </cfRule>
    <cfRule type="cellIs" dxfId="782" priority="374" operator="equal">
      <formula>"Media"</formula>
    </cfRule>
    <cfRule type="cellIs" dxfId="781" priority="375" operator="equal">
      <formula>"Baja"</formula>
    </cfRule>
    <cfRule type="cellIs" dxfId="780" priority="376" operator="equal">
      <formula>"Muy Baja"</formula>
    </cfRule>
  </conditionalFormatting>
  <conditionalFormatting sqref="F75:F79">
    <cfRule type="cellIs" dxfId="779" priority="371" operator="equal">
      <formula>"Rara vez"</formula>
    </cfRule>
  </conditionalFormatting>
  <conditionalFormatting sqref="AM75">
    <cfRule type="cellIs" dxfId="778" priority="367" operator="equal">
      <formula>"Casi seguro"</formula>
    </cfRule>
    <cfRule type="cellIs" dxfId="777" priority="368" operator="equal">
      <formula>"Probable"</formula>
    </cfRule>
    <cfRule type="cellIs" dxfId="776" priority="369" operator="equal">
      <formula>"Posible"</formula>
    </cfRule>
    <cfRule type="cellIs" dxfId="775" priority="370" operator="equal">
      <formula>"Improbable"</formula>
    </cfRule>
  </conditionalFormatting>
  <conditionalFormatting sqref="AM75:AM79">
    <cfRule type="cellIs" dxfId="774" priority="366" operator="equal">
      <formula>"Rara vez"</formula>
    </cfRule>
  </conditionalFormatting>
  <conditionalFormatting sqref="AQ75">
    <cfRule type="cellIs" dxfId="773" priority="361" operator="equal">
      <formula>"Catastrófico"</formula>
    </cfRule>
    <cfRule type="cellIs" dxfId="772" priority="362" operator="equal">
      <formula>"Mayor"</formula>
    </cfRule>
    <cfRule type="cellIs" dxfId="771" priority="363" operator="equal">
      <formula>"Moderado"</formula>
    </cfRule>
    <cfRule type="cellIs" dxfId="770" priority="364" operator="equal">
      <formula>"Menor"</formula>
    </cfRule>
    <cfRule type="cellIs" dxfId="769" priority="365" operator="equal">
      <formula>"Leve"</formula>
    </cfRule>
  </conditionalFormatting>
  <conditionalFormatting sqref="F85">
    <cfRule type="cellIs" dxfId="768" priority="320" operator="equal">
      <formula>"Casi seguro"</formula>
    </cfRule>
    <cfRule type="cellIs" dxfId="767" priority="321" operator="equal">
      <formula>"Probable"</formula>
    </cfRule>
    <cfRule type="cellIs" dxfId="766" priority="322" operator="equal">
      <formula>"Posible"</formula>
    </cfRule>
    <cfRule type="cellIs" dxfId="765" priority="323" operator="equal">
      <formula>"Improbable"</formula>
    </cfRule>
  </conditionalFormatting>
  <conditionalFormatting sqref="I85">
    <cfRule type="cellIs" dxfId="764" priority="315" operator="equal">
      <formula>"Catastrófico"</formula>
    </cfRule>
    <cfRule type="cellIs" dxfId="763" priority="316" operator="equal">
      <formula>"Mayor"</formula>
    </cfRule>
    <cfRule type="cellIs" dxfId="762" priority="317" operator="equal">
      <formula>"Moderado"</formula>
    </cfRule>
    <cfRule type="cellIs" dxfId="761" priority="318" operator="equal">
      <formula>"Menor"</formula>
    </cfRule>
    <cfRule type="cellIs" dxfId="760" priority="319" operator="equal">
      <formula>"Leve"</formula>
    </cfRule>
  </conditionalFormatting>
  <conditionalFormatting sqref="J85">
    <cfRule type="cellIs" dxfId="759" priority="310" operator="equal">
      <formula>"Muy Alta"</formula>
    </cfRule>
    <cfRule type="cellIs" dxfId="758" priority="311" operator="equal">
      <formula>"Alta"</formula>
    </cfRule>
    <cfRule type="cellIs" dxfId="757" priority="312" operator="equal">
      <formula>"Media"</formula>
    </cfRule>
    <cfRule type="cellIs" dxfId="756" priority="313" operator="equal">
      <formula>"Baja"</formula>
    </cfRule>
    <cfRule type="cellIs" dxfId="755" priority="314" operator="equal">
      <formula>"Muy Baja"</formula>
    </cfRule>
  </conditionalFormatting>
  <conditionalFormatting sqref="K85">
    <cfRule type="cellIs" dxfId="754" priority="306" operator="equal">
      <formula>"Extremo"</formula>
    </cfRule>
    <cfRule type="cellIs" dxfId="753" priority="307" operator="equal">
      <formula>"Alto"</formula>
    </cfRule>
    <cfRule type="cellIs" dxfId="752" priority="308" operator="equal">
      <formula>"Moderado"</formula>
    </cfRule>
    <cfRule type="cellIs" dxfId="751" priority="309" operator="equal">
      <formula>"Bajo"</formula>
    </cfRule>
  </conditionalFormatting>
  <conditionalFormatting sqref="AR85">
    <cfRule type="containsText" dxfId="750" priority="303" operator="containsText" text="Alto">
      <formula>NOT(ISERROR(SEARCH("Alto",AR85)))</formula>
    </cfRule>
    <cfRule type="containsText" dxfId="749" priority="304" stopIfTrue="1" operator="containsText" text="Moderado">
      <formula>NOT(ISERROR(SEARCH("Moderado",AR85)))</formula>
    </cfRule>
    <cfRule type="containsText" dxfId="748" priority="305" operator="containsText" text="Extremo">
      <formula>NOT(ISERROR(SEARCH("Extremo",AR85)))</formula>
    </cfRule>
  </conditionalFormatting>
  <conditionalFormatting sqref="G85">
    <cfRule type="cellIs" dxfId="747" priority="298" operator="equal">
      <formula>"Muy Alta"</formula>
    </cfRule>
    <cfRule type="cellIs" dxfId="746" priority="299" operator="equal">
      <formula>"Alta"</formula>
    </cfRule>
    <cfRule type="cellIs" dxfId="745" priority="300" operator="equal">
      <formula>"Media"</formula>
    </cfRule>
    <cfRule type="cellIs" dxfId="744" priority="301" operator="equal">
      <formula>"Baja"</formula>
    </cfRule>
    <cfRule type="cellIs" dxfId="743" priority="302" operator="equal">
      <formula>"Muy Baja"</formula>
    </cfRule>
  </conditionalFormatting>
  <conditionalFormatting sqref="F85:F89">
    <cfRule type="cellIs" dxfId="742" priority="297" operator="equal">
      <formula>"Rara vez"</formula>
    </cfRule>
  </conditionalFormatting>
  <conditionalFormatting sqref="AM85">
    <cfRule type="cellIs" dxfId="741" priority="293" operator="equal">
      <formula>"Casi seguro"</formula>
    </cfRule>
    <cfRule type="cellIs" dxfId="740" priority="294" operator="equal">
      <formula>"Probable"</formula>
    </cfRule>
    <cfRule type="cellIs" dxfId="739" priority="295" operator="equal">
      <formula>"Posible"</formula>
    </cfRule>
    <cfRule type="cellIs" dxfId="738" priority="296" operator="equal">
      <formula>"Improbable"</formula>
    </cfRule>
  </conditionalFormatting>
  <conditionalFormatting sqref="AM85:AM89">
    <cfRule type="cellIs" dxfId="737" priority="292" operator="equal">
      <formula>"Rara vez"</formula>
    </cfRule>
  </conditionalFormatting>
  <conditionalFormatting sqref="AQ85">
    <cfRule type="cellIs" dxfId="736" priority="287" operator="equal">
      <formula>"Catastrófico"</formula>
    </cfRule>
    <cfRule type="cellIs" dxfId="735" priority="288" operator="equal">
      <formula>"Mayor"</formula>
    </cfRule>
    <cfRule type="cellIs" dxfId="734" priority="289" operator="equal">
      <formula>"Moderado"</formula>
    </cfRule>
    <cfRule type="cellIs" dxfId="733" priority="290" operator="equal">
      <formula>"Menor"</formula>
    </cfRule>
    <cfRule type="cellIs" dxfId="732" priority="291" operator="equal">
      <formula>"Leve"</formula>
    </cfRule>
  </conditionalFormatting>
  <conditionalFormatting sqref="F30">
    <cfRule type="cellIs" dxfId="731" priority="283" operator="equal">
      <formula>"Casi seguro"</formula>
    </cfRule>
    <cfRule type="cellIs" dxfId="730" priority="284" operator="equal">
      <formula>"Probable"</formula>
    </cfRule>
    <cfRule type="cellIs" dxfId="729" priority="285" operator="equal">
      <formula>"Posible"</formula>
    </cfRule>
    <cfRule type="cellIs" dxfId="728" priority="286" operator="equal">
      <formula>"Improbable"</formula>
    </cfRule>
  </conditionalFormatting>
  <conditionalFormatting sqref="I30">
    <cfRule type="cellIs" dxfId="727" priority="278" operator="equal">
      <formula>"Catastrófico"</formula>
    </cfRule>
    <cfRule type="cellIs" dxfId="726" priority="279" operator="equal">
      <formula>"Mayor"</formula>
    </cfRule>
    <cfRule type="cellIs" dxfId="725" priority="280" operator="equal">
      <formula>"Moderado"</formula>
    </cfRule>
    <cfRule type="cellIs" dxfId="724" priority="281" operator="equal">
      <formula>"Menor"</formula>
    </cfRule>
    <cfRule type="cellIs" dxfId="723" priority="282" operator="equal">
      <formula>"Leve"</formula>
    </cfRule>
  </conditionalFormatting>
  <conditionalFormatting sqref="J30">
    <cfRule type="cellIs" dxfId="722" priority="273" operator="equal">
      <formula>"Muy Alta"</formula>
    </cfRule>
    <cfRule type="cellIs" dxfId="721" priority="274" operator="equal">
      <formula>"Alta"</formula>
    </cfRule>
    <cfRule type="cellIs" dxfId="720" priority="275" operator="equal">
      <formula>"Media"</formula>
    </cfRule>
    <cfRule type="cellIs" dxfId="719" priority="276" operator="equal">
      <formula>"Baja"</formula>
    </cfRule>
    <cfRule type="cellIs" dxfId="718" priority="277" operator="equal">
      <formula>"Muy Baja"</formula>
    </cfRule>
  </conditionalFormatting>
  <conditionalFormatting sqref="K30">
    <cfRule type="cellIs" dxfId="717" priority="269" operator="equal">
      <formula>"Extremo"</formula>
    </cfRule>
    <cfRule type="cellIs" dxfId="716" priority="270" operator="equal">
      <formula>"Alto"</formula>
    </cfRule>
    <cfRule type="cellIs" dxfId="715" priority="271" operator="equal">
      <formula>"Moderado"</formula>
    </cfRule>
    <cfRule type="cellIs" dxfId="714" priority="272" operator="equal">
      <formula>"Bajo"</formula>
    </cfRule>
  </conditionalFormatting>
  <conditionalFormatting sqref="AR30">
    <cfRule type="containsText" dxfId="713" priority="266" operator="containsText" text="Alto">
      <formula>NOT(ISERROR(SEARCH("Alto",AR30)))</formula>
    </cfRule>
    <cfRule type="containsText" dxfId="712" priority="267" stopIfTrue="1" operator="containsText" text="Moderado">
      <formula>NOT(ISERROR(SEARCH("Moderado",AR30)))</formula>
    </cfRule>
    <cfRule type="containsText" dxfId="711" priority="268" operator="containsText" text="Extremo">
      <formula>NOT(ISERROR(SEARCH("Extremo",AR30)))</formula>
    </cfRule>
  </conditionalFormatting>
  <conditionalFormatting sqref="G30">
    <cfRule type="cellIs" dxfId="710" priority="261" operator="equal">
      <formula>"Muy Alta"</formula>
    </cfRule>
    <cfRule type="cellIs" dxfId="709" priority="262" operator="equal">
      <formula>"Alta"</formula>
    </cfRule>
    <cfRule type="cellIs" dxfId="708" priority="263" operator="equal">
      <formula>"Media"</formula>
    </cfRule>
    <cfRule type="cellIs" dxfId="707" priority="264" operator="equal">
      <formula>"Baja"</formula>
    </cfRule>
    <cfRule type="cellIs" dxfId="706" priority="265" operator="equal">
      <formula>"Muy Baja"</formula>
    </cfRule>
  </conditionalFormatting>
  <conditionalFormatting sqref="F30:F34">
    <cfRule type="cellIs" dxfId="705" priority="260" operator="equal">
      <formula>"Rara vez"</formula>
    </cfRule>
  </conditionalFormatting>
  <conditionalFormatting sqref="AM30">
    <cfRule type="cellIs" dxfId="704" priority="256" operator="equal">
      <formula>"Casi seguro"</formula>
    </cfRule>
    <cfRule type="cellIs" dxfId="703" priority="257" operator="equal">
      <formula>"Probable"</formula>
    </cfRule>
    <cfRule type="cellIs" dxfId="702" priority="258" operator="equal">
      <formula>"Posible"</formula>
    </cfRule>
    <cfRule type="cellIs" dxfId="701" priority="259" operator="equal">
      <formula>"Improbable"</formula>
    </cfRule>
  </conditionalFormatting>
  <conditionalFormatting sqref="AM30:AM34">
    <cfRule type="cellIs" dxfId="700" priority="255" operator="equal">
      <formula>"Rara vez"</formula>
    </cfRule>
  </conditionalFormatting>
  <conditionalFormatting sqref="AQ30">
    <cfRule type="cellIs" dxfId="699" priority="250" operator="equal">
      <formula>"Catastrófico"</formula>
    </cfRule>
    <cfRule type="cellIs" dxfId="698" priority="251" operator="equal">
      <formula>"Mayor"</formula>
    </cfRule>
    <cfRule type="cellIs" dxfId="697" priority="252" operator="equal">
      <formula>"Moderado"</formula>
    </cfRule>
    <cfRule type="cellIs" dxfId="696" priority="253" operator="equal">
      <formula>"Menor"</formula>
    </cfRule>
    <cfRule type="cellIs" dxfId="695" priority="254" operator="equal">
      <formula>"Leve"</formula>
    </cfRule>
  </conditionalFormatting>
  <conditionalFormatting sqref="F80">
    <cfRule type="cellIs" dxfId="694" priority="172" operator="equal">
      <formula>"Casi seguro"</formula>
    </cfRule>
    <cfRule type="cellIs" dxfId="693" priority="173" operator="equal">
      <formula>"Probable"</formula>
    </cfRule>
    <cfRule type="cellIs" dxfId="692" priority="174" operator="equal">
      <formula>"Posible"</formula>
    </cfRule>
    <cfRule type="cellIs" dxfId="691" priority="175" operator="equal">
      <formula>"Improbable"</formula>
    </cfRule>
  </conditionalFormatting>
  <conditionalFormatting sqref="I80">
    <cfRule type="cellIs" dxfId="690" priority="167" operator="equal">
      <formula>"Catastrófico"</formula>
    </cfRule>
    <cfRule type="cellIs" dxfId="689" priority="168" operator="equal">
      <formula>"Mayor"</formula>
    </cfRule>
    <cfRule type="cellIs" dxfId="688" priority="169" operator="equal">
      <formula>"Moderado"</formula>
    </cfRule>
    <cfRule type="cellIs" dxfId="687" priority="170" operator="equal">
      <formula>"Menor"</formula>
    </cfRule>
    <cfRule type="cellIs" dxfId="686" priority="171" operator="equal">
      <formula>"Leve"</formula>
    </cfRule>
  </conditionalFormatting>
  <conditionalFormatting sqref="J80">
    <cfRule type="cellIs" dxfId="685" priority="162" operator="equal">
      <formula>"Muy Alta"</formula>
    </cfRule>
    <cfRule type="cellIs" dxfId="684" priority="163" operator="equal">
      <formula>"Alta"</formula>
    </cfRule>
    <cfRule type="cellIs" dxfId="683" priority="164" operator="equal">
      <formula>"Media"</formula>
    </cfRule>
    <cfRule type="cellIs" dxfId="682" priority="165" operator="equal">
      <formula>"Baja"</formula>
    </cfRule>
    <cfRule type="cellIs" dxfId="681" priority="166" operator="equal">
      <formula>"Muy Baja"</formula>
    </cfRule>
  </conditionalFormatting>
  <conditionalFormatting sqref="K80">
    <cfRule type="cellIs" dxfId="680" priority="158" operator="equal">
      <formula>"Extremo"</formula>
    </cfRule>
    <cfRule type="cellIs" dxfId="679" priority="159" operator="equal">
      <formula>"Alto"</formula>
    </cfRule>
    <cfRule type="cellIs" dxfId="678" priority="160" operator="equal">
      <formula>"Moderado"</formula>
    </cfRule>
    <cfRule type="cellIs" dxfId="677" priority="161" operator="equal">
      <formula>"Bajo"</formula>
    </cfRule>
  </conditionalFormatting>
  <conditionalFormatting sqref="AR80">
    <cfRule type="containsText" dxfId="676" priority="155" operator="containsText" text="Alto">
      <formula>NOT(ISERROR(SEARCH("Alto",AR80)))</formula>
    </cfRule>
    <cfRule type="containsText" dxfId="675" priority="156" stopIfTrue="1" operator="containsText" text="Moderado">
      <formula>NOT(ISERROR(SEARCH("Moderado",AR80)))</formula>
    </cfRule>
    <cfRule type="containsText" dxfId="674" priority="157" operator="containsText" text="Extremo">
      <formula>NOT(ISERROR(SEARCH("Extremo",AR80)))</formula>
    </cfRule>
  </conditionalFormatting>
  <conditionalFormatting sqref="G80">
    <cfRule type="cellIs" dxfId="673" priority="150" operator="equal">
      <formula>"Muy Alta"</formula>
    </cfRule>
    <cfRule type="cellIs" dxfId="672" priority="151" operator="equal">
      <formula>"Alta"</formula>
    </cfRule>
    <cfRule type="cellIs" dxfId="671" priority="152" operator="equal">
      <formula>"Media"</formula>
    </cfRule>
    <cfRule type="cellIs" dxfId="670" priority="153" operator="equal">
      <formula>"Baja"</formula>
    </cfRule>
    <cfRule type="cellIs" dxfId="669" priority="154" operator="equal">
      <formula>"Muy Baja"</formula>
    </cfRule>
  </conditionalFormatting>
  <conditionalFormatting sqref="F80:F84">
    <cfRule type="cellIs" dxfId="668" priority="149" operator="equal">
      <formula>"Rara vez"</formula>
    </cfRule>
  </conditionalFormatting>
  <conditionalFormatting sqref="AM80">
    <cfRule type="cellIs" dxfId="667" priority="145" operator="equal">
      <formula>"Casi seguro"</formula>
    </cfRule>
    <cfRule type="cellIs" dxfId="666" priority="146" operator="equal">
      <formula>"Probable"</formula>
    </cfRule>
    <cfRule type="cellIs" dxfId="665" priority="147" operator="equal">
      <formula>"Posible"</formula>
    </cfRule>
    <cfRule type="cellIs" dxfId="664" priority="148" operator="equal">
      <formula>"Improbable"</formula>
    </cfRule>
  </conditionalFormatting>
  <conditionalFormatting sqref="AM80:AM84">
    <cfRule type="cellIs" dxfId="663" priority="144" operator="equal">
      <formula>"Rara vez"</formula>
    </cfRule>
  </conditionalFormatting>
  <conditionalFormatting sqref="AQ80">
    <cfRule type="cellIs" dxfId="662" priority="139" operator="equal">
      <formula>"Catastrófico"</formula>
    </cfRule>
    <cfRule type="cellIs" dxfId="661" priority="140" operator="equal">
      <formula>"Mayor"</formula>
    </cfRule>
    <cfRule type="cellIs" dxfId="660" priority="141" operator="equal">
      <formula>"Moderado"</formula>
    </cfRule>
    <cfRule type="cellIs" dxfId="659" priority="142" operator="equal">
      <formula>"Menor"</formula>
    </cfRule>
    <cfRule type="cellIs" dxfId="658" priority="143" operator="equal">
      <formula>"Leve"</formula>
    </cfRule>
  </conditionalFormatting>
  <conditionalFormatting sqref="F35">
    <cfRule type="cellIs" dxfId="657" priority="209" operator="equal">
      <formula>"Casi seguro"</formula>
    </cfRule>
    <cfRule type="cellIs" dxfId="656" priority="210" operator="equal">
      <formula>"Probable"</formula>
    </cfRule>
    <cfRule type="cellIs" dxfId="655" priority="211" operator="equal">
      <formula>"Posible"</formula>
    </cfRule>
    <cfRule type="cellIs" dxfId="654" priority="212" operator="equal">
      <formula>"Improbable"</formula>
    </cfRule>
  </conditionalFormatting>
  <conditionalFormatting sqref="I35">
    <cfRule type="cellIs" dxfId="653" priority="204" operator="equal">
      <formula>"Catastrófico"</formula>
    </cfRule>
    <cfRule type="cellIs" dxfId="652" priority="205" operator="equal">
      <formula>"Mayor"</formula>
    </cfRule>
    <cfRule type="cellIs" dxfId="651" priority="206" operator="equal">
      <formula>"Moderado"</formula>
    </cfRule>
    <cfRule type="cellIs" dxfId="650" priority="207" operator="equal">
      <formula>"Menor"</formula>
    </cfRule>
    <cfRule type="cellIs" dxfId="649" priority="208" operator="equal">
      <formula>"Leve"</formula>
    </cfRule>
  </conditionalFormatting>
  <conditionalFormatting sqref="J35">
    <cfRule type="cellIs" dxfId="648" priority="199" operator="equal">
      <formula>"Muy Alta"</formula>
    </cfRule>
    <cfRule type="cellIs" dxfId="647" priority="200" operator="equal">
      <formula>"Alta"</formula>
    </cfRule>
    <cfRule type="cellIs" dxfId="646" priority="201" operator="equal">
      <formula>"Media"</formula>
    </cfRule>
    <cfRule type="cellIs" dxfId="645" priority="202" operator="equal">
      <formula>"Baja"</formula>
    </cfRule>
    <cfRule type="cellIs" dxfId="644" priority="203" operator="equal">
      <formula>"Muy Baja"</formula>
    </cfRule>
  </conditionalFormatting>
  <conditionalFormatting sqref="K35">
    <cfRule type="cellIs" dxfId="643" priority="195" operator="equal">
      <formula>"Extremo"</formula>
    </cfRule>
    <cfRule type="cellIs" dxfId="642" priority="196" operator="equal">
      <formula>"Alto"</formula>
    </cfRule>
    <cfRule type="cellIs" dxfId="641" priority="197" operator="equal">
      <formula>"Moderado"</formula>
    </cfRule>
    <cfRule type="cellIs" dxfId="640" priority="198" operator="equal">
      <formula>"Bajo"</formula>
    </cfRule>
  </conditionalFormatting>
  <conditionalFormatting sqref="AR35">
    <cfRule type="containsText" dxfId="639" priority="192" operator="containsText" text="Alto">
      <formula>NOT(ISERROR(SEARCH("Alto",AR35)))</formula>
    </cfRule>
    <cfRule type="containsText" dxfId="638" priority="193" stopIfTrue="1" operator="containsText" text="Moderado">
      <formula>NOT(ISERROR(SEARCH("Moderado",AR35)))</formula>
    </cfRule>
    <cfRule type="containsText" dxfId="637" priority="194" operator="containsText" text="Extremo">
      <formula>NOT(ISERROR(SEARCH("Extremo",AR35)))</formula>
    </cfRule>
  </conditionalFormatting>
  <conditionalFormatting sqref="G35">
    <cfRule type="cellIs" dxfId="636" priority="187" operator="equal">
      <formula>"Muy Alta"</formula>
    </cfRule>
    <cfRule type="cellIs" dxfId="635" priority="188" operator="equal">
      <formula>"Alta"</formula>
    </cfRule>
    <cfRule type="cellIs" dxfId="634" priority="189" operator="equal">
      <formula>"Media"</formula>
    </cfRule>
    <cfRule type="cellIs" dxfId="633" priority="190" operator="equal">
      <formula>"Baja"</formula>
    </cfRule>
    <cfRule type="cellIs" dxfId="632" priority="191" operator="equal">
      <formula>"Muy Baja"</formula>
    </cfRule>
  </conditionalFormatting>
  <conditionalFormatting sqref="F35:F39">
    <cfRule type="cellIs" dxfId="631" priority="186" operator="equal">
      <formula>"Rara vez"</formula>
    </cfRule>
  </conditionalFormatting>
  <conditionalFormatting sqref="AM35">
    <cfRule type="cellIs" dxfId="630" priority="182" operator="equal">
      <formula>"Casi seguro"</formula>
    </cfRule>
    <cfRule type="cellIs" dxfId="629" priority="183" operator="equal">
      <formula>"Probable"</formula>
    </cfRule>
    <cfRule type="cellIs" dxfId="628" priority="184" operator="equal">
      <formula>"Posible"</formula>
    </cfRule>
    <cfRule type="cellIs" dxfId="627" priority="185" operator="equal">
      <formula>"Improbable"</formula>
    </cfRule>
  </conditionalFormatting>
  <conditionalFormatting sqref="AM35:AM39">
    <cfRule type="cellIs" dxfId="626" priority="181" operator="equal">
      <formula>"Rara vez"</formula>
    </cfRule>
  </conditionalFormatting>
  <conditionalFormatting sqref="AQ35">
    <cfRule type="cellIs" dxfId="625" priority="176" operator="equal">
      <formula>"Catastrófico"</formula>
    </cfRule>
    <cfRule type="cellIs" dxfId="624" priority="177" operator="equal">
      <formula>"Mayor"</formula>
    </cfRule>
    <cfRule type="cellIs" dxfId="623" priority="178" operator="equal">
      <formula>"Moderado"</formula>
    </cfRule>
    <cfRule type="cellIs" dxfId="622" priority="179" operator="equal">
      <formula>"Menor"</formula>
    </cfRule>
    <cfRule type="cellIs" dxfId="621" priority="180" operator="equal">
      <formula>"Leve"</formula>
    </cfRule>
  </conditionalFormatting>
  <conditionalFormatting sqref="F10">
    <cfRule type="cellIs" dxfId="620" priority="135" operator="equal">
      <formula>"Casi seguro"</formula>
    </cfRule>
    <cfRule type="cellIs" dxfId="619" priority="136" operator="equal">
      <formula>"Probable"</formula>
    </cfRule>
    <cfRule type="cellIs" dxfId="618" priority="137" operator="equal">
      <formula>"Posible"</formula>
    </cfRule>
    <cfRule type="cellIs" dxfId="617" priority="138" operator="equal">
      <formula>"Improbable"</formula>
    </cfRule>
  </conditionalFormatting>
  <conditionalFormatting sqref="I10">
    <cfRule type="cellIs" dxfId="616" priority="130" operator="equal">
      <formula>"Catastrófico"</formula>
    </cfRule>
    <cfRule type="cellIs" dxfId="615" priority="131" operator="equal">
      <formula>"Mayor"</formula>
    </cfRule>
    <cfRule type="cellIs" dxfId="614" priority="132" operator="equal">
      <formula>"Moderado"</formula>
    </cfRule>
    <cfRule type="cellIs" dxfId="613" priority="133" operator="equal">
      <formula>"Menor"</formula>
    </cfRule>
    <cfRule type="cellIs" dxfId="612" priority="134" operator="equal">
      <formula>"Leve"</formula>
    </cfRule>
  </conditionalFormatting>
  <conditionalFormatting sqref="J10">
    <cfRule type="cellIs" dxfId="611" priority="125" operator="equal">
      <formula>"Muy Alta"</formula>
    </cfRule>
    <cfRule type="cellIs" dxfId="610" priority="126" operator="equal">
      <formula>"Alta"</formula>
    </cfRule>
    <cfRule type="cellIs" dxfId="609" priority="127" operator="equal">
      <formula>"Media"</formula>
    </cfRule>
    <cfRule type="cellIs" dxfId="608" priority="128" operator="equal">
      <formula>"Baja"</formula>
    </cfRule>
    <cfRule type="cellIs" dxfId="607" priority="129" operator="equal">
      <formula>"Muy Baja"</formula>
    </cfRule>
  </conditionalFormatting>
  <conditionalFormatting sqref="K10">
    <cfRule type="cellIs" dxfId="606" priority="121" operator="equal">
      <formula>"Extremo"</formula>
    </cfRule>
    <cfRule type="cellIs" dxfId="605" priority="122" operator="equal">
      <formula>"Alto"</formula>
    </cfRule>
    <cfRule type="cellIs" dxfId="604" priority="123" operator="equal">
      <formula>"Moderado"</formula>
    </cfRule>
    <cfRule type="cellIs" dxfId="603" priority="124" operator="equal">
      <formula>"Bajo"</formula>
    </cfRule>
  </conditionalFormatting>
  <conditionalFormatting sqref="AR10">
    <cfRule type="containsText" dxfId="602" priority="118" operator="containsText" text="Alto">
      <formula>NOT(ISERROR(SEARCH("Alto",AR10)))</formula>
    </cfRule>
    <cfRule type="containsText" dxfId="601" priority="119" stopIfTrue="1" operator="containsText" text="Moderado">
      <formula>NOT(ISERROR(SEARCH("Moderado",AR10)))</formula>
    </cfRule>
    <cfRule type="containsText" dxfId="600" priority="120" operator="containsText" text="Extremo">
      <formula>NOT(ISERROR(SEARCH("Extremo",AR10)))</formula>
    </cfRule>
  </conditionalFormatting>
  <conditionalFormatting sqref="G10">
    <cfRule type="cellIs" dxfId="599" priority="113" operator="equal">
      <formula>"Muy Alta"</formula>
    </cfRule>
    <cfRule type="cellIs" dxfId="598" priority="114" operator="equal">
      <formula>"Alta"</formula>
    </cfRule>
    <cfRule type="cellIs" dxfId="597" priority="115" operator="equal">
      <formula>"Media"</formula>
    </cfRule>
    <cfRule type="cellIs" dxfId="596" priority="116" operator="equal">
      <formula>"Baja"</formula>
    </cfRule>
    <cfRule type="cellIs" dxfId="595" priority="117" operator="equal">
      <formula>"Muy Baja"</formula>
    </cfRule>
  </conditionalFormatting>
  <conditionalFormatting sqref="F10:F14">
    <cfRule type="cellIs" dxfId="594" priority="112" operator="equal">
      <formula>"Rara vez"</formula>
    </cfRule>
  </conditionalFormatting>
  <conditionalFormatting sqref="AM10">
    <cfRule type="cellIs" dxfId="593" priority="108" operator="equal">
      <formula>"Casi seguro"</formula>
    </cfRule>
    <cfRule type="cellIs" dxfId="592" priority="109" operator="equal">
      <formula>"Probable"</formula>
    </cfRule>
    <cfRule type="cellIs" dxfId="591" priority="110" operator="equal">
      <formula>"Posible"</formula>
    </cfRule>
    <cfRule type="cellIs" dxfId="590" priority="111" operator="equal">
      <formula>"Improbable"</formula>
    </cfRule>
  </conditionalFormatting>
  <conditionalFormatting sqref="AM10:AM14">
    <cfRule type="cellIs" dxfId="589" priority="107" operator="equal">
      <formula>"Rara vez"</formula>
    </cfRule>
  </conditionalFormatting>
  <conditionalFormatting sqref="AQ10">
    <cfRule type="cellIs" dxfId="588" priority="102" operator="equal">
      <formula>"Catastrófico"</formula>
    </cfRule>
    <cfRule type="cellIs" dxfId="587" priority="103" operator="equal">
      <formula>"Mayor"</formula>
    </cfRule>
    <cfRule type="cellIs" dxfId="586" priority="104" operator="equal">
      <formula>"Moderado"</formula>
    </cfRule>
    <cfRule type="cellIs" dxfId="585" priority="105" operator="equal">
      <formula>"Menor"</formula>
    </cfRule>
    <cfRule type="cellIs" dxfId="584" priority="106" operator="equal">
      <formula>"Leve"</formula>
    </cfRule>
  </conditionalFormatting>
  <conditionalFormatting sqref="F40 F45">
    <cfRule type="cellIs" dxfId="583" priority="98" operator="equal">
      <formula>"Casi seguro"</formula>
    </cfRule>
    <cfRule type="cellIs" dxfId="582" priority="99" operator="equal">
      <formula>"Probable"</formula>
    </cfRule>
    <cfRule type="cellIs" dxfId="581" priority="100" operator="equal">
      <formula>"Posible"</formula>
    </cfRule>
    <cfRule type="cellIs" dxfId="580" priority="101" operator="equal">
      <formula>"Improbable"</formula>
    </cfRule>
  </conditionalFormatting>
  <conditionalFormatting sqref="I40">
    <cfRule type="cellIs" dxfId="579" priority="93" operator="equal">
      <formula>"Catastrófico"</formula>
    </cfRule>
    <cfRule type="cellIs" dxfId="578" priority="94" operator="equal">
      <formula>"Mayor"</formula>
    </cfRule>
    <cfRule type="cellIs" dxfId="577" priority="95" operator="equal">
      <formula>"Moderado"</formula>
    </cfRule>
    <cfRule type="cellIs" dxfId="576" priority="96" operator="equal">
      <formula>"Menor"</formula>
    </cfRule>
    <cfRule type="cellIs" dxfId="575" priority="97" operator="equal">
      <formula>"Leve"</formula>
    </cfRule>
  </conditionalFormatting>
  <conditionalFormatting sqref="J40">
    <cfRule type="cellIs" dxfId="574" priority="88" operator="equal">
      <formula>"Muy Alta"</formula>
    </cfRule>
    <cfRule type="cellIs" dxfId="573" priority="89" operator="equal">
      <formula>"Alta"</formula>
    </cfRule>
    <cfRule type="cellIs" dxfId="572" priority="90" operator="equal">
      <formula>"Media"</formula>
    </cfRule>
    <cfRule type="cellIs" dxfId="571" priority="91" operator="equal">
      <formula>"Baja"</formula>
    </cfRule>
    <cfRule type="cellIs" dxfId="570" priority="92" operator="equal">
      <formula>"Muy Baja"</formula>
    </cfRule>
  </conditionalFormatting>
  <conditionalFormatting sqref="K40">
    <cfRule type="cellIs" dxfId="569" priority="84" operator="equal">
      <formula>"Extremo"</formula>
    </cfRule>
    <cfRule type="cellIs" dxfId="568" priority="85" operator="equal">
      <formula>"Alto"</formula>
    </cfRule>
    <cfRule type="cellIs" dxfId="567" priority="86" operator="equal">
      <formula>"Moderado"</formula>
    </cfRule>
    <cfRule type="cellIs" dxfId="566" priority="87" operator="equal">
      <formula>"Bajo"</formula>
    </cfRule>
  </conditionalFormatting>
  <conditionalFormatting sqref="AR40">
    <cfRule type="containsText" dxfId="565" priority="81" operator="containsText" text="Alto">
      <formula>NOT(ISERROR(SEARCH("Alto",AR40)))</formula>
    </cfRule>
    <cfRule type="containsText" dxfId="564" priority="82" stopIfTrue="1" operator="containsText" text="Moderado">
      <formula>NOT(ISERROR(SEARCH("Moderado",AR40)))</formula>
    </cfRule>
    <cfRule type="containsText" dxfId="563" priority="83" operator="containsText" text="Extremo">
      <formula>NOT(ISERROR(SEARCH("Extremo",AR40)))</formula>
    </cfRule>
  </conditionalFormatting>
  <conditionalFormatting sqref="G40 G45">
    <cfRule type="cellIs" dxfId="562" priority="76" operator="equal">
      <formula>"Muy Alta"</formula>
    </cfRule>
    <cfRule type="cellIs" dxfId="561" priority="77" operator="equal">
      <formula>"Alta"</formula>
    </cfRule>
    <cfRule type="cellIs" dxfId="560" priority="78" operator="equal">
      <formula>"Media"</formula>
    </cfRule>
    <cfRule type="cellIs" dxfId="559" priority="79" operator="equal">
      <formula>"Baja"</formula>
    </cfRule>
    <cfRule type="cellIs" dxfId="558" priority="80" operator="equal">
      <formula>"Muy Baja"</formula>
    </cfRule>
  </conditionalFormatting>
  <conditionalFormatting sqref="F40:F49">
    <cfRule type="cellIs" dxfId="557" priority="75" operator="equal">
      <formula>"Rara vez"</formula>
    </cfRule>
  </conditionalFormatting>
  <conditionalFormatting sqref="I45">
    <cfRule type="cellIs" dxfId="556" priority="70" operator="equal">
      <formula>"Catastrófico"</formula>
    </cfRule>
    <cfRule type="cellIs" dxfId="555" priority="71" operator="equal">
      <formula>"Mayor"</formula>
    </cfRule>
    <cfRule type="cellIs" dxfId="554" priority="72" operator="equal">
      <formula>"Moderado"</formula>
    </cfRule>
    <cfRule type="cellIs" dxfId="553" priority="73" operator="equal">
      <formula>"Menor"</formula>
    </cfRule>
    <cfRule type="cellIs" dxfId="552" priority="74" operator="equal">
      <formula>"Leve"</formula>
    </cfRule>
  </conditionalFormatting>
  <conditionalFormatting sqref="J45">
    <cfRule type="cellIs" dxfId="551" priority="65" operator="equal">
      <formula>"Muy Alta"</formula>
    </cfRule>
    <cfRule type="cellIs" dxfId="550" priority="66" operator="equal">
      <formula>"Alta"</formula>
    </cfRule>
    <cfRule type="cellIs" dxfId="549" priority="67" operator="equal">
      <formula>"Media"</formula>
    </cfRule>
    <cfRule type="cellIs" dxfId="548" priority="68" operator="equal">
      <formula>"Baja"</formula>
    </cfRule>
    <cfRule type="cellIs" dxfId="547" priority="69" operator="equal">
      <formula>"Muy Baja"</formula>
    </cfRule>
  </conditionalFormatting>
  <conditionalFormatting sqref="K45">
    <cfRule type="cellIs" dxfId="546" priority="61" operator="equal">
      <formula>"Extremo"</formula>
    </cfRule>
    <cfRule type="cellIs" dxfId="545" priority="62" operator="equal">
      <formula>"Alto"</formula>
    </cfRule>
    <cfRule type="cellIs" dxfId="544" priority="63" operator="equal">
      <formula>"Moderado"</formula>
    </cfRule>
    <cfRule type="cellIs" dxfId="543" priority="64" operator="equal">
      <formula>"Bajo"</formula>
    </cfRule>
  </conditionalFormatting>
  <conditionalFormatting sqref="AR45">
    <cfRule type="containsText" dxfId="542" priority="58" operator="containsText" text="Alto">
      <formula>NOT(ISERROR(SEARCH("Alto",AR45)))</formula>
    </cfRule>
    <cfRule type="containsText" dxfId="541" priority="59" stopIfTrue="1" operator="containsText" text="Moderado">
      <formula>NOT(ISERROR(SEARCH("Moderado",AR45)))</formula>
    </cfRule>
    <cfRule type="containsText" dxfId="540" priority="60" operator="containsText" text="Extremo">
      <formula>NOT(ISERROR(SEARCH("Extremo",AR45)))</formula>
    </cfRule>
  </conditionalFormatting>
  <conditionalFormatting sqref="AM40">
    <cfRule type="cellIs" dxfId="539" priority="54" operator="equal">
      <formula>"Casi seguro"</formula>
    </cfRule>
    <cfRule type="cellIs" dxfId="538" priority="55" operator="equal">
      <formula>"Probable"</formula>
    </cfRule>
    <cfRule type="cellIs" dxfId="537" priority="56" operator="equal">
      <formula>"Posible"</formula>
    </cfRule>
    <cfRule type="cellIs" dxfId="536" priority="57" operator="equal">
      <formula>"Improbable"</formula>
    </cfRule>
  </conditionalFormatting>
  <conditionalFormatting sqref="AM40:AM44">
    <cfRule type="cellIs" dxfId="535" priority="53" operator="equal">
      <formula>"Rara vez"</formula>
    </cfRule>
  </conditionalFormatting>
  <conditionalFormatting sqref="AM45">
    <cfRule type="cellIs" dxfId="534" priority="49" operator="equal">
      <formula>"Casi seguro"</formula>
    </cfRule>
    <cfRule type="cellIs" dxfId="533" priority="50" operator="equal">
      <formula>"Probable"</formula>
    </cfRule>
    <cfRule type="cellIs" dxfId="532" priority="51" operator="equal">
      <formula>"Posible"</formula>
    </cfRule>
    <cfRule type="cellIs" dxfId="531" priority="52" operator="equal">
      <formula>"Improbable"</formula>
    </cfRule>
  </conditionalFormatting>
  <conditionalFormatting sqref="AM45:AM49">
    <cfRule type="cellIs" dxfId="530" priority="48" operator="equal">
      <formula>"Rara vez"</formula>
    </cfRule>
  </conditionalFormatting>
  <conditionalFormatting sqref="AQ40">
    <cfRule type="cellIs" dxfId="529" priority="43" operator="equal">
      <formula>"Catastrófico"</formula>
    </cfRule>
    <cfRule type="cellIs" dxfId="528" priority="44" operator="equal">
      <formula>"Mayor"</formula>
    </cfRule>
    <cfRule type="cellIs" dxfId="527" priority="45" operator="equal">
      <formula>"Moderado"</formula>
    </cfRule>
    <cfRule type="cellIs" dxfId="526" priority="46" operator="equal">
      <formula>"Menor"</formula>
    </cfRule>
    <cfRule type="cellIs" dxfId="525" priority="47" operator="equal">
      <formula>"Leve"</formula>
    </cfRule>
  </conditionalFormatting>
  <conditionalFormatting sqref="AQ45">
    <cfRule type="cellIs" dxfId="524" priority="38" operator="equal">
      <formula>"Catastrófico"</formula>
    </cfRule>
    <cfRule type="cellIs" dxfId="523" priority="39" operator="equal">
      <formula>"Mayor"</formula>
    </cfRule>
    <cfRule type="cellIs" dxfId="522" priority="40" operator="equal">
      <formula>"Moderado"</formula>
    </cfRule>
    <cfRule type="cellIs" dxfId="521" priority="41" operator="equal">
      <formula>"Menor"</formula>
    </cfRule>
    <cfRule type="cellIs" dxfId="520" priority="42" operator="equal">
      <formula>"Leve"</formula>
    </cfRule>
  </conditionalFormatting>
  <conditionalFormatting sqref="F65">
    <cfRule type="cellIs" dxfId="519" priority="34" operator="equal">
      <formula>"Casi seguro"</formula>
    </cfRule>
    <cfRule type="cellIs" dxfId="518" priority="35" operator="equal">
      <formula>"Probable"</formula>
    </cfRule>
    <cfRule type="cellIs" dxfId="517" priority="36" operator="equal">
      <formula>"Posible"</formula>
    </cfRule>
    <cfRule type="cellIs" dxfId="516" priority="37" operator="equal">
      <formula>"Improbable"</formula>
    </cfRule>
  </conditionalFormatting>
  <conditionalFormatting sqref="G65">
    <cfRule type="cellIs" dxfId="515" priority="29" operator="equal">
      <formula>"Muy Alta"</formula>
    </cfRule>
    <cfRule type="cellIs" dxfId="514" priority="30" operator="equal">
      <formula>"Alta"</formula>
    </cfRule>
    <cfRule type="cellIs" dxfId="513" priority="31" operator="equal">
      <formula>"Media"</formula>
    </cfRule>
    <cfRule type="cellIs" dxfId="512" priority="32" operator="equal">
      <formula>"Baja"</formula>
    </cfRule>
    <cfRule type="cellIs" dxfId="511" priority="33" operator="equal">
      <formula>"Muy Baja"</formula>
    </cfRule>
  </conditionalFormatting>
  <conditionalFormatting sqref="F65:F69">
    <cfRule type="cellIs" dxfId="510" priority="28" operator="equal">
      <formula>"Rara vez"</formula>
    </cfRule>
  </conditionalFormatting>
  <conditionalFormatting sqref="I65">
    <cfRule type="cellIs" dxfId="509" priority="23" operator="equal">
      <formula>"Catastrófico"</formula>
    </cfRule>
    <cfRule type="cellIs" dxfId="508" priority="24" operator="equal">
      <formula>"Mayor"</formula>
    </cfRule>
    <cfRule type="cellIs" dxfId="507" priority="25" operator="equal">
      <formula>"Moderado"</formula>
    </cfRule>
    <cfRule type="cellIs" dxfId="506" priority="26" operator="equal">
      <formula>"Menor"</formula>
    </cfRule>
    <cfRule type="cellIs" dxfId="505" priority="27" operator="equal">
      <formula>"Leve"</formula>
    </cfRule>
  </conditionalFormatting>
  <conditionalFormatting sqref="J65">
    <cfRule type="cellIs" dxfId="504" priority="18" operator="equal">
      <formula>"Muy Alta"</formula>
    </cfRule>
    <cfRule type="cellIs" dxfId="503" priority="19" operator="equal">
      <formula>"Alta"</formula>
    </cfRule>
    <cfRule type="cellIs" dxfId="502" priority="20" operator="equal">
      <formula>"Media"</formula>
    </cfRule>
    <cfRule type="cellIs" dxfId="501" priority="21" operator="equal">
      <formula>"Baja"</formula>
    </cfRule>
    <cfRule type="cellIs" dxfId="500" priority="22" operator="equal">
      <formula>"Muy Baja"</formula>
    </cfRule>
  </conditionalFormatting>
  <conditionalFormatting sqref="K65">
    <cfRule type="cellIs" dxfId="499" priority="14" operator="equal">
      <formula>"Extremo"</formula>
    </cfRule>
    <cfRule type="cellIs" dxfId="498" priority="15" operator="equal">
      <formula>"Alto"</formula>
    </cfRule>
    <cfRule type="cellIs" dxfId="497" priority="16" operator="equal">
      <formula>"Moderado"</formula>
    </cfRule>
    <cfRule type="cellIs" dxfId="496" priority="17" operator="equal">
      <formula>"Bajo"</formula>
    </cfRule>
  </conditionalFormatting>
  <conditionalFormatting sqref="AR65">
    <cfRule type="containsText" dxfId="495" priority="11" operator="containsText" text="Alto">
      <formula>NOT(ISERROR(SEARCH("Alto",AR65)))</formula>
    </cfRule>
    <cfRule type="containsText" dxfId="494" priority="12" stopIfTrue="1" operator="containsText" text="Moderado">
      <formula>NOT(ISERROR(SEARCH("Moderado",AR65)))</formula>
    </cfRule>
    <cfRule type="containsText" dxfId="493" priority="13" operator="containsText" text="Extremo">
      <formula>NOT(ISERROR(SEARCH("Extremo",AR65)))</formula>
    </cfRule>
  </conditionalFormatting>
  <conditionalFormatting sqref="AM65">
    <cfRule type="cellIs" dxfId="492" priority="7" operator="equal">
      <formula>"Casi seguro"</formula>
    </cfRule>
    <cfRule type="cellIs" dxfId="491" priority="8" operator="equal">
      <formula>"Probable"</formula>
    </cfRule>
    <cfRule type="cellIs" dxfId="490" priority="9" operator="equal">
      <formula>"Posible"</formula>
    </cfRule>
    <cfRule type="cellIs" dxfId="489" priority="10" operator="equal">
      <formula>"Improbable"</formula>
    </cfRule>
  </conditionalFormatting>
  <conditionalFormatting sqref="AM65:AM69">
    <cfRule type="cellIs" dxfId="488" priority="6" operator="equal">
      <formula>"Rara vez"</formula>
    </cfRule>
  </conditionalFormatting>
  <conditionalFormatting sqref="AQ65">
    <cfRule type="cellIs" dxfId="487" priority="1" operator="equal">
      <formula>"Catastrófico"</formula>
    </cfRule>
    <cfRule type="cellIs" dxfId="486" priority="2" operator="equal">
      <formula>"Mayor"</formula>
    </cfRule>
    <cfRule type="cellIs" dxfId="485" priority="3" operator="equal">
      <formula>"Moderado"</formula>
    </cfRule>
    <cfRule type="cellIs" dxfId="484" priority="4" operator="equal">
      <formula>"Menor"</formula>
    </cfRule>
    <cfRule type="cellIs" dxfId="483" priority="5" operator="equal">
      <formula>"Leve"</formula>
    </cfRule>
  </conditionalFormatting>
  <dataValidations count="7">
    <dataValidation showInputMessage="1" showErrorMessage="1" sqref="AK5:AL5 AP5 AK35:AL35 AP35 AK80:AL80 AP80 AK15:AL15 AP15 AK20:AL20 AP20 AK85:AL85 AP85 AK75:AL75 AP75 AK25:AL25 AP25 AK70:AL70 AP70 AK30:AL30 AP30 AK10:AL10 AP10 AK55:AL55 AP55 AK60:AL60 AP60 AK95:AL95 AP95 AK45:AL45 AP45 AK50:AL50 AP50 AK90:AL90 AP90 AK40:AL40 AP40 AP65 AK65:AL65"/>
    <dataValidation type="list" allowBlank="1" showInputMessage="1" showErrorMessage="1" sqref="H5:H9">
      <formula1>$C$116:$C$118</formula1>
    </dataValidation>
    <dataValidation type="list" allowBlank="1" showInputMessage="1" showErrorMessage="1" sqref="H15:H34 H50:H64 H70:H79 H85:H89">
      <formula1>$B$106:$B$108</formula1>
    </dataValidation>
    <dataValidation type="list" allowBlank="1" showInputMessage="1" showErrorMessage="1" sqref="H90:H99">
      <formula1>$B$116:$B$118</formula1>
    </dataValidation>
    <dataValidation type="list" allowBlank="1" showInputMessage="1" showErrorMessage="1" sqref="H35:H39">
      <formula1>$B$111:$B$113</formula1>
    </dataValidation>
    <dataValidation type="list" allowBlank="1" showInputMessage="1" showErrorMessage="1" sqref="H80:H84 H10:H14">
      <formula1>$B$101:$B$103</formula1>
    </dataValidation>
    <dataValidation type="list" allowBlank="1" showInputMessage="1" showErrorMessage="1" sqref="AJ65">
      <formula1>$J$10:$J$10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3">
        <x14:dataValidation type="list" allowBlank="1" showInputMessage="1" showErrorMessage="1">
          <x14:formula1>
            <xm:f>[1]calificación_impacto_corrupción!#REF!</xm:f>
          </x14:formula1>
          <xm:sqref>V5:V9 AN5:AN9 AJ5 AD5:AD9 N5:N9 P5:P9 R5:R9 T5:T9 X5:X9 Z5:Z9 E5:E9 AG5:AG9 AS5:AS9</xm:sqref>
        </x14:dataValidation>
        <x14:dataValidation type="list" allowBlank="1" showInputMessage="1" showErrorMessage="1">
          <x14:formula1>
            <xm:f>[13]DESPLEGABLES!#REF!</xm:f>
          </x14:formula1>
          <xm:sqref>AY90:AY99 AY50:AY64 AS25 AS15 AY70:AY84 AY5:AY34</xm:sqref>
        </x14:dataValidation>
        <x14:dataValidation type="list" allowBlank="1" showInputMessage="1" showErrorMessage="1">
          <x14:formula1>
            <xm:f>[13]calificación_impacto_corrupción!#REF!</xm:f>
          </x14:formula1>
          <xm:sqref>Z75:Z76 X75:X76 V75:V76 T75:T76 R75:R76 P75:P76 N75:N76 N80:N81 P35:P37 R35:R37 T35:T37 V35:V37 X35:X37 Z35:Z37 Z15 X15 V15 T15 R15 P15 N15 Z20:Z21 X20:X21 V20:V21 T20:T21 R20:R21 P20:P21 N20:N21 Z30:Z31 X31 V30 T30:T31 R30:R31 P30:P31 N30:N31 R60:R61 P50:P51 P55:P56 P60:P61 N50:N51 N55:N56 N60:N61 Z70:Z71 X70:X71 V70:V71 T70:T71 R70:R71 P70:P71 N70:N71 Z25:Z26 X25:X26 V25:V26 T25:T26 R25:R26 P25:P26 N25:N26 Z50:Z51 Z55:Z56 Z60:Z61 X50:X51 X55:X56 X60:X61 V50:V51 V55:V56 V60:V61 T50:T51 T55:T56 T60:T61 R50:R51 R55:R56 Z80:Z81 X80:X81 V80:V81 T80:T81 R80:R81 P80:P81 N10:N11 Z10:Z11 X10:X11 V10:V11 T10:T11 R10:R11 P10:P11</xm:sqref>
        </x14:dataValidation>
        <x14:dataValidation type="list" allowBlank="1" showInputMessage="1" showErrorMessage="1">
          <x14:formula1>
            <xm:f>[16]DESPLEGABLES!#REF!</xm:f>
          </x14:formula1>
          <xm:sqref>AS40 AS45 H40:H49 AY40:AY49</xm:sqref>
        </x14:dataValidation>
        <x14:dataValidation type="list" allowBlank="1" showInputMessage="1" showErrorMessage="1">
          <x14:formula1>
            <xm:f>[16]calificación_impacto_corrupción!#REF!</xm:f>
          </x14:formula1>
          <xm:sqref>N35:N37 E40:E49 Z40:Z49 X40:X49 V40:V49 T40:T49 R40:R49 P40:P49 N40:N49 AD40:AD49 AJ40 AJ45 AN40:AN49</xm:sqref>
        </x14:dataValidation>
        <x14:dataValidation type="list" allowBlank="1" showInputMessage="1" showErrorMessage="1">
          <x14:formula1>
            <xm:f>[17]DESPLEGABLES!#REF!</xm:f>
          </x14:formula1>
          <xm:sqref>AY65:AY69 H65:H69</xm:sqref>
        </x14:dataValidation>
        <x14:dataValidation type="list" allowBlank="1" showInputMessage="1" showErrorMessage="1">
          <x14:formula1>
            <xm:f>[17]calificación_impacto_corrupción!#REF!</xm:f>
          </x14:formula1>
          <xm:sqref>E65:E69 Z65:Z69 X65:X69 V65:V69 T65:T69 R65:R69 P65:P69 N65:N69 AD65:AD69 AN65:AN69</xm:sqref>
        </x14:dataValidation>
        <x14:dataValidation type="list" allowBlank="1" showInputMessage="1" showErrorMessage="1">
          <x14:formula1>
            <xm:f>[15]DESPLEGABLES!#REF!</xm:f>
          </x14:formula1>
          <xm:sqref>AY85:AY89</xm:sqref>
        </x14:dataValidation>
        <x14:dataValidation type="list" allowBlank="1" showInputMessage="1" showErrorMessage="1">
          <x14:formula1>
            <xm:f>[18]calificación_impacto_corrupción!#REF!</xm:f>
          </x14:formula1>
          <xm:sqref>E15:E19 AG15 AN15:AN19 AJ15 AD15:AD19 N16:N19 P16:P19 R16:R19 T16:T19 V16:V19 X16:X19 Z16:Z19</xm:sqref>
        </x14:dataValidation>
        <x14:dataValidation type="list" allowBlank="1" showInputMessage="1" showErrorMessage="1">
          <x14:formula1>
            <xm:f>[19]calificación_impacto_corrupción!#REF!</xm:f>
          </x14:formula1>
          <xm:sqref>AS20:AS24 AN20:AN24 AJ20 AD20:AD24 N22:N24 P22:P24 R22:R24 T22:T24 V22:V24 X22:X24 Z22:Z24 E20:E24 AG20:AG24</xm:sqref>
        </x14:dataValidation>
        <x14:dataValidation type="list" allowBlank="1" showInputMessage="1" showErrorMessage="1">
          <x14:formula1>
            <xm:f>[20]calificación_impacto_corrupción!#REF!</xm:f>
          </x14:formula1>
          <xm:sqref>AG25:AG29 AN25:AN29 AJ25 AD25:AD29 N27:N29 P27:P29 R27:R29 T27:T29 V27:V29 X27:X29 Z27:Z29 E25:E29</xm:sqref>
        </x14:dataValidation>
        <x14:dataValidation type="list" allowBlank="1" showInputMessage="1" showErrorMessage="1">
          <x14:formula1>
            <xm:f>[6]calificación_impacto_corrupción!#REF!</xm:f>
          </x14:formula1>
          <xm:sqref>AS50:AS64 AN50:AN64 AJ50 AJ55 AJ60 AD50:AD64 N52:N54 N57:N59 N62:N64 P52:P54 P57:P59 P62:P64 R52:R54 R57:R59 R62:R64 T52:T54 T57:T59 T62:T64 V52:V54 V57:V59 V62:V64 X52:X54 X57:X59 X62:X64 Z52:Z54 Z57:Z59 Z62:Z64 E50:E64 AG50:AG64</xm:sqref>
        </x14:dataValidation>
        <x14:dataValidation type="list" allowBlank="1" showInputMessage="1" showErrorMessage="1">
          <x14:formula1>
            <xm:f>[7]calificación_impacto_corrupción!#REF!</xm:f>
          </x14:formula1>
          <xm:sqref>T90:T99 AN90:AN99 AJ90 AJ95 AD90:AD99 N90:N99 P90:P99 R90:R99 V90:V99 X90:X99 Z90:Z99 E90:E99 AG90:AG99 AS90:AS99 AN35:AN39 AJ35 AD38:AD39 N38:N39 P38:P39 R38:R39 V38:V39 X38:X39 Z38:Z39 E35:E39 AS35:AS39 T38:T39</xm:sqref>
        </x14:dataValidation>
        <x14:dataValidation type="list" allowBlank="1" showInputMessage="1" showErrorMessage="1">
          <x14:formula1>
            <xm:f>[8]calificación_impacto_corrupción!#REF!</xm:f>
          </x14:formula1>
          <xm:sqref>AS70:AS74 AN70:AN74 AJ70 AD70:AD74 N72:N74 P72:P74 R72:R74 T72:T74 V72:V74 X72:X74 Z72:Z74 E70:E74 AG70:AG74</xm:sqref>
        </x14:dataValidation>
        <x14:dataValidation type="list" allowBlank="1" showInputMessage="1" showErrorMessage="1">
          <x14:formula1>
            <xm:f>[9]calificación_impacto_corrupción!#REF!</xm:f>
          </x14:formula1>
          <xm:sqref>AS75:AS79 AN75:AN79 AJ75 AD75:AD79 N77:N79 P77:P79 R77:R79 T77:T79 V77:V79 X77:X79 Z77:Z79 E75:E79 AG75:AG79</xm:sqref>
        </x14:dataValidation>
        <x14:dataValidation type="list" allowBlank="1" showInputMessage="1" showErrorMessage="1">
          <x14:formula1>
            <xm:f>[12]calificación_impacto_corrupción!#REF!</xm:f>
          </x14:formula1>
          <xm:sqref>V85:V89 AN85:AN89 AJ85 AD85:AD89 N85:N89 P85:P89 R85:R89 T85:T89 X85:X89 Z85:Z89 E85:E89 AG85:AG89 AS85:AS89</xm:sqref>
        </x14:dataValidation>
        <x14:dataValidation type="list" allowBlank="1" showInputMessage="1" showErrorMessage="1">
          <x14:formula1>
            <xm:f>[4]calificación_impacto_corrupción!#REF!</xm:f>
          </x14:formula1>
          <xm:sqref>AS30:AS34 AN30:AN34 AJ30 AD30:AD37 N32:N34 P32:P34 R32:R34 T32:T34 V31:V34 X30 X32:X34 Z32:Z34 E30:E34 AG30:AG39</xm:sqref>
        </x14:dataValidation>
        <x14:dataValidation type="list" allowBlank="1" showInputMessage="1" showErrorMessage="1">
          <x14:formula1>
            <xm:f>[10]calificación_impacto_corrupción!#REF!</xm:f>
          </x14:formula1>
          <xm:sqref>AS80:AS84 AN80:AN84 AJ80 AD80:AD84 N82:N84 P82:P84 R82:R84 T82:T84 V82:V84 X82:X84 Z82:Z84 E80:E84 AG80:AG84</xm:sqref>
        </x14:dataValidation>
        <x14:dataValidation type="list" allowBlank="1" showInputMessage="1" showErrorMessage="1">
          <x14:formula1>
            <xm:f>[3]calificación_impacto_corrupción!#REF!</xm:f>
          </x14:formula1>
          <xm:sqref>AS10:AS14</xm:sqref>
        </x14:dataValidation>
        <x14:dataValidation type="list" allowBlank="1" showInputMessage="1" showErrorMessage="1">
          <x14:formula1>
            <xm:f>[3]calificación_impacto_corrupción!#REF!</xm:f>
          </x14:formula1>
          <xm:sqref>AG10:AG14</xm:sqref>
        </x14:dataValidation>
        <x14:dataValidation type="list" allowBlank="1" showInputMessage="1" showErrorMessage="1">
          <x14:formula1>
            <xm:f>[3]calificación_impacto_corrupción!#REF!</xm:f>
          </x14:formula1>
          <xm:sqref>E10:E14</xm:sqref>
        </x14:dataValidation>
        <x14:dataValidation type="list" allowBlank="1" showInputMessage="1" showErrorMessage="1">
          <x14:formula1>
            <xm:f>[3]calificación_impacto_corrupción!#REF!</xm:f>
          </x14:formula1>
          <xm:sqref>Z12:Z14</xm:sqref>
        </x14:dataValidation>
        <x14:dataValidation type="list" allowBlank="1" showInputMessage="1" showErrorMessage="1">
          <x14:formula1>
            <xm:f>[3]calificación_impacto_corrupción!#REF!</xm:f>
          </x14:formula1>
          <xm:sqref>X12:X14</xm:sqref>
        </x14:dataValidation>
        <x14:dataValidation type="list" allowBlank="1" showInputMessage="1" showErrorMessage="1">
          <x14:formula1>
            <xm:f>[3]calificación_impacto_corrupción!#REF!</xm:f>
          </x14:formula1>
          <xm:sqref>V12:V14</xm:sqref>
        </x14:dataValidation>
        <x14:dataValidation type="list" allowBlank="1" showInputMessage="1" showErrorMessage="1">
          <x14:formula1>
            <xm:f>[3]calificación_impacto_corrupción!#REF!</xm:f>
          </x14:formula1>
          <xm:sqref>T12:T14</xm:sqref>
        </x14:dataValidation>
        <x14:dataValidation type="list" allowBlank="1" showInputMessage="1" showErrorMessage="1">
          <x14:formula1>
            <xm:f>[3]calificación_impacto_corrupción!#REF!</xm:f>
          </x14:formula1>
          <xm:sqref>R12:R14</xm:sqref>
        </x14:dataValidation>
        <x14:dataValidation type="list" allowBlank="1" showInputMessage="1" showErrorMessage="1">
          <x14:formula1>
            <xm:f>[3]calificación_impacto_corrupción!#REF!</xm:f>
          </x14:formula1>
          <xm:sqref>P12:P14</xm:sqref>
        </x14:dataValidation>
        <x14:dataValidation type="list" allowBlank="1" showInputMessage="1" showErrorMessage="1">
          <x14:formula1>
            <xm:f>[3]calificación_impacto_corrupción!#REF!</xm:f>
          </x14:formula1>
          <xm:sqref>N12:N14</xm:sqref>
        </x14:dataValidation>
        <x14:dataValidation type="list" allowBlank="1" showInputMessage="1" showErrorMessage="1">
          <x14:formula1>
            <xm:f>[3]calificación_impacto_corrupción!#REF!</xm:f>
          </x14:formula1>
          <xm:sqref>AD10:AD14</xm:sqref>
        </x14:dataValidation>
        <x14:dataValidation type="list" allowBlank="1" showInputMessage="1" showErrorMessage="1">
          <x14:formula1>
            <xm:f>[3]calificación_impacto_corrupción!#REF!</xm:f>
          </x14:formula1>
          <xm:sqref>AJ10</xm:sqref>
        </x14:dataValidation>
        <x14:dataValidation type="list" allowBlank="1" showInputMessage="1" showErrorMessage="1">
          <x14:formula1>
            <xm:f>[3]calificación_impacto_corrupción!#REF!</xm:f>
          </x14:formula1>
          <xm:sqref>AN10:AN14</xm:sqref>
        </x14:dataValidation>
        <x14:dataValidation type="list" allowBlank="1" showInputMessage="1" showErrorMessage="1">
          <x14:formula1>
            <xm:f>[16]calificación_impacto_corrupción!#REF!</xm:f>
          </x14:formula1>
          <xm:sqref>AG40 AG45</xm:sqref>
        </x14:dataValidation>
        <x14:dataValidation type="list" allowBlank="1" showInputMessage="1" showErrorMessage="1">
          <x14:formula1>
            <xm:f>[22]calificación_impacto_corrupción!#REF!</xm:f>
          </x14:formula1>
          <xm:sqref>AS65:AS69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FX63"/>
  <sheetViews>
    <sheetView topLeftCell="A55" zoomScale="80" zoomScaleNormal="80" workbookViewId="0">
      <selection activeCell="C82" sqref="C82"/>
    </sheetView>
  </sheetViews>
  <sheetFormatPr baseColWidth="10" defaultRowHeight="16.5" x14ac:dyDescent="0.3"/>
  <cols>
    <col min="1" max="1" width="5" style="3" customWidth="1"/>
    <col min="2" max="2" width="14.7109375" style="3" customWidth="1"/>
    <col min="3" max="3" width="58.5703125" style="71" customWidth="1"/>
    <col min="4" max="4" width="15.85546875" style="3" customWidth="1"/>
    <col min="5" max="5" width="44.140625" style="3" customWidth="1"/>
    <col min="6" max="6" width="13.42578125" style="3" customWidth="1"/>
    <col min="7" max="7" width="11.42578125" style="3"/>
    <col min="8" max="8" width="12.5703125" style="3" customWidth="1"/>
    <col min="9" max="9" width="11.42578125" style="3"/>
    <col min="10" max="10" width="60.85546875" style="3" customWidth="1"/>
    <col min="11" max="14" width="11.42578125" style="3"/>
    <col min="15" max="15" width="24.85546875" style="72" customWidth="1"/>
    <col min="16" max="21" width="11.42578125" style="3"/>
    <col min="22" max="24" width="6.85546875" style="3" customWidth="1"/>
    <col min="25" max="26" width="11.42578125" style="3"/>
    <col min="27" max="27" width="7" style="73" bestFit="1" customWidth="1"/>
    <col min="28" max="28" width="11.42578125" style="3" customWidth="1"/>
    <col min="29" max="29" width="9.5703125" style="3" customWidth="1"/>
    <col min="30" max="30" width="13.28515625" style="74" bestFit="1" customWidth="1"/>
    <col min="31" max="31" width="8.42578125" style="3" customWidth="1"/>
    <col min="32" max="32" width="17.28515625" style="74" bestFit="1" customWidth="1"/>
    <col min="33" max="33" width="12.28515625" style="3" bestFit="1" customWidth="1"/>
    <col min="34" max="16384" width="11.42578125" style="3"/>
  </cols>
  <sheetData>
    <row r="1" spans="1:40" ht="12" customHeight="1" x14ac:dyDescent="0.25">
      <c r="A1" s="326" t="s">
        <v>204</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7"/>
    </row>
    <row r="2" spans="1:40" ht="12" customHeight="1" x14ac:dyDescent="0.25">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9"/>
    </row>
    <row r="3" spans="1:40" ht="12" customHeight="1" x14ac:dyDescent="0.25">
      <c r="A3" s="328"/>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9"/>
    </row>
    <row r="4" spans="1:40" ht="12" customHeight="1" x14ac:dyDescent="0.25">
      <c r="A4" s="328"/>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9"/>
    </row>
    <row r="5" spans="1:40" ht="12" customHeight="1" x14ac:dyDescent="0.25">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9"/>
    </row>
    <row r="6" spans="1:40" ht="12" customHeight="1" x14ac:dyDescent="0.25">
      <c r="A6" s="330"/>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1"/>
    </row>
    <row r="7" spans="1:40" ht="16.5" customHeight="1" x14ac:dyDescent="0.25">
      <c r="A7" s="332" t="s">
        <v>4</v>
      </c>
      <c r="B7" s="333"/>
      <c r="C7" s="333"/>
      <c r="D7" s="333"/>
      <c r="E7" s="333"/>
      <c r="F7" s="333"/>
      <c r="G7" s="334"/>
      <c r="H7" s="332" t="s">
        <v>5</v>
      </c>
      <c r="I7" s="333"/>
      <c r="J7" s="333"/>
      <c r="K7" s="333"/>
      <c r="L7" s="333"/>
      <c r="M7" s="333"/>
      <c r="N7" s="332" t="s">
        <v>129</v>
      </c>
      <c r="O7" s="333"/>
      <c r="P7" s="333"/>
      <c r="Q7" s="333"/>
      <c r="R7" s="333"/>
      <c r="S7" s="333"/>
      <c r="T7" s="333"/>
      <c r="U7" s="333"/>
      <c r="V7" s="334"/>
      <c r="W7" s="332" t="s">
        <v>130</v>
      </c>
      <c r="X7" s="333"/>
      <c r="Y7" s="333"/>
      <c r="Z7" s="333"/>
      <c r="AA7" s="333"/>
      <c r="AB7" s="333"/>
      <c r="AC7" s="333"/>
      <c r="AD7" s="333"/>
      <c r="AE7" s="333"/>
      <c r="AF7" s="333"/>
      <c r="AG7" s="333"/>
      <c r="AH7" s="334"/>
      <c r="AI7" s="332" t="s">
        <v>19</v>
      </c>
      <c r="AJ7" s="333"/>
      <c r="AK7" s="333"/>
      <c r="AL7" s="333"/>
      <c r="AM7" s="333"/>
      <c r="AN7" s="334"/>
    </row>
    <row r="8" spans="1:40" ht="16.5" customHeight="1" x14ac:dyDescent="0.25">
      <c r="A8" s="312" t="s">
        <v>22</v>
      </c>
      <c r="B8" s="38"/>
      <c r="C8" s="314" t="s">
        <v>25</v>
      </c>
      <c r="D8" s="314" t="s">
        <v>142</v>
      </c>
      <c r="E8" s="314" t="s">
        <v>26</v>
      </c>
      <c r="F8" s="314" t="s">
        <v>131</v>
      </c>
      <c r="G8" s="316" t="s">
        <v>132</v>
      </c>
      <c r="H8" s="315" t="s">
        <v>28</v>
      </c>
      <c r="I8" s="317" t="s">
        <v>29</v>
      </c>
      <c r="J8" s="314" t="s">
        <v>30</v>
      </c>
      <c r="K8" s="311" t="s">
        <v>31</v>
      </c>
      <c r="L8" s="317" t="s">
        <v>29</v>
      </c>
      <c r="M8" s="316" t="s">
        <v>32</v>
      </c>
      <c r="N8" s="320" t="s">
        <v>33</v>
      </c>
      <c r="O8" s="322" t="s">
        <v>34</v>
      </c>
      <c r="P8" s="314" t="s">
        <v>133</v>
      </c>
      <c r="Q8" s="318" t="s">
        <v>134</v>
      </c>
      <c r="R8" s="318"/>
      <c r="S8" s="318"/>
      <c r="T8" s="318"/>
      <c r="U8" s="318"/>
      <c r="V8" s="318"/>
      <c r="W8" s="319" t="s">
        <v>135</v>
      </c>
      <c r="X8" s="319" t="s">
        <v>136</v>
      </c>
      <c r="Y8" s="319" t="s">
        <v>29</v>
      </c>
      <c r="Z8" s="319" t="s">
        <v>137</v>
      </c>
      <c r="AA8" s="319" t="s">
        <v>29</v>
      </c>
      <c r="AB8" s="319" t="s">
        <v>29</v>
      </c>
      <c r="AC8" s="319" t="s">
        <v>138</v>
      </c>
      <c r="AD8" s="39"/>
      <c r="AE8" s="319" t="s">
        <v>139</v>
      </c>
      <c r="AF8" s="40"/>
      <c r="AG8" s="319" t="s">
        <v>140</v>
      </c>
      <c r="AH8" s="320" t="s">
        <v>45</v>
      </c>
      <c r="AI8" s="318" t="s">
        <v>19</v>
      </c>
      <c r="AJ8" s="318" t="s">
        <v>46</v>
      </c>
      <c r="AK8" s="318" t="s">
        <v>47</v>
      </c>
      <c r="AL8" s="318" t="s">
        <v>48</v>
      </c>
      <c r="AM8" s="318" t="s">
        <v>49</v>
      </c>
      <c r="AN8" s="318" t="s">
        <v>50</v>
      </c>
    </row>
    <row r="9" spans="1:40" ht="79.5" customHeight="1" thickBot="1" x14ac:dyDescent="0.3">
      <c r="A9" s="313"/>
      <c r="B9" s="41" t="s">
        <v>141</v>
      </c>
      <c r="C9" s="390"/>
      <c r="D9" s="390"/>
      <c r="E9" s="315"/>
      <c r="F9" s="315"/>
      <c r="G9" s="314"/>
      <c r="H9" s="315"/>
      <c r="I9" s="317"/>
      <c r="J9" s="315"/>
      <c r="K9" s="317"/>
      <c r="L9" s="317"/>
      <c r="M9" s="314"/>
      <c r="N9" s="321"/>
      <c r="O9" s="323"/>
      <c r="P9" s="315"/>
      <c r="Q9" s="42" t="s">
        <v>143</v>
      </c>
      <c r="R9" s="42" t="s">
        <v>144</v>
      </c>
      <c r="S9" s="42" t="s">
        <v>145</v>
      </c>
      <c r="T9" s="42" t="s">
        <v>146</v>
      </c>
      <c r="U9" s="42" t="s">
        <v>147</v>
      </c>
      <c r="V9" s="42" t="s">
        <v>148</v>
      </c>
      <c r="W9" s="320"/>
      <c r="X9" s="320"/>
      <c r="Y9" s="320"/>
      <c r="Z9" s="320"/>
      <c r="AA9" s="320"/>
      <c r="AB9" s="320"/>
      <c r="AC9" s="320"/>
      <c r="AD9" s="39"/>
      <c r="AE9" s="320"/>
      <c r="AF9" s="43"/>
      <c r="AG9" s="320"/>
      <c r="AH9" s="321"/>
      <c r="AI9" s="314"/>
      <c r="AJ9" s="314"/>
      <c r="AK9" s="314"/>
      <c r="AL9" s="314"/>
      <c r="AM9" s="314"/>
      <c r="AN9" s="314"/>
    </row>
    <row r="10" spans="1:40" s="26" customFormat="1" ht="24" customHeight="1" thickBot="1" x14ac:dyDescent="0.3">
      <c r="A10" s="300">
        <v>5</v>
      </c>
      <c r="B10" s="294" t="s">
        <v>88</v>
      </c>
      <c r="C10" s="393" t="s">
        <v>157</v>
      </c>
      <c r="D10" s="305" t="s">
        <v>149</v>
      </c>
      <c r="E10" s="285" t="s">
        <v>150</v>
      </c>
      <c r="F10" s="285" t="s">
        <v>151</v>
      </c>
      <c r="G10" s="294">
        <v>1</v>
      </c>
      <c r="H10" s="288" t="str">
        <f>IF(AND(G10&lt;=2),"Muy Baja",IF(AND(G10&gt;=3,G10&lt;=23),"Baja",IF(AND(G10&gt;=24,G10&lt;=499),"Media",IF(AND(G10&gt;=500,G10&lt;=4999),"Alta",IF(AND(G10&gt;=5000),"Muy Alta",FALSE)))))</f>
        <v>Muy Baja</v>
      </c>
      <c r="I10" s="288" t="str">
        <f>IF(AND(G10&lt;=2),"20%",IF(AND(G10&gt;=3,G10&lt;=23),"40%",IF(AND(G10&gt;=24,G10&lt;=499),"60%",IF(AND(G10&gt;=500,G10&lt;=4999),"80%",IF(AND(G10&gt;=5000),"100%",FALSE)))))</f>
        <v>20%</v>
      </c>
      <c r="J10" s="297" t="s">
        <v>158</v>
      </c>
      <c r="K10" s="288" t="str">
        <f>IF(AND(J10=[23]DESPLEGABLES!$A$19),"Leve",IF(AND(J10=[23]DESPLEGABLES!$A$20),"Menor",IF(AND(J10=[23]DESPLEGABLES!$A$21),"Moderado",IF(AND(J10=[23]DESPLEGABLES!$A$22),"Mayor",IF(AND(J10=[23]DESPLEGABLES!$A$23),"Catastrófico",IF(AND(J10=[23]DESPLEGABLES!$A$25),"Leve",IF(AND(J10=[23]DESPLEGABLES!$A$26),"Menor",IF(AND(J10=[23]DESPLEGABLES!$A$27),"Moderado",IF(AND(J10=[23]DESPLEGABLES!$A$28),"Mayor",IF(AND(J10=[23]DESPLEGABLES!$A$29),"Catastrófico",IF(AND(J10=[23]DESPLEGABLES!$A$31),"Moderado",IF(AND(J10=[23]DESPLEGABLES!$A$32),"Mayor",IF(AND(J10=[23]DESPLEGABLES!$A$33),"Catastrófico","")))))))))))))</f>
        <v>Leve</v>
      </c>
      <c r="L10" s="288" t="str">
        <f>IF(AND(K10="Leve"),"20%",IF(AND(K10="Menor"),"40%",IF(AND(K10="Moderado"),"60%",IF(AND(K10="Mayor"),"80%",IF(AND(K10="Catastrófico"),"100%","")))))</f>
        <v>20%</v>
      </c>
      <c r="M10" s="288" t="str">
        <f>IF(AND(I10&lt;="40%",L10="20%"),"Bajo",IF(AND(I10="60%",L10="20%"),"Moderado",IF(AND(I10="80%",L10="20%"),"Moderado",IF(AND(I10="100%",L10="20%"),"Alto",IF(AND(I10="20%",L10="40%"),"Bajo",IF(AND(I10="40%",L10="40%"),"Moderado",IF(AND(I10="60%",L10="40%"),"Moderado",IF(AND(I10="80%",L10="40%"),"Moderado",IF(AND(I10="100%",L10="40%"),"Alto",IF(AND(I10="20%",L10="60%"),"Moderado",IF(AND(I10="40%",L10="60%"),"Moderado",IF(AND(I10="60%",L10="60%"),"Moderado",IF(AND(I10="80%",L10="60%"),"Alto",IF(AND(I10="100%",L10="60%"),"Alto",IF(AND(I10="20%",L10="80%"),"Alto",IF(AND(I10="40%",L10="80%"),"Alto",IF(AND(I10="60%",L10="80%"),"Alto",IF(AND(I10="80%",L10="80%"),"Alto",IF(AND(I10="100%",L10="80%"),"Alto",IF(AND(I10="20%",L10="100%"),"Extremo",IF(AND(I10="40%",L10="100%"),"Extremo",IF(AND(I10="60%",L10="100%"),"Extremo",IF(AND(I10="80%",L10="100%"),"Moderado",IF(AND(I10="100%",L10="100%"),"Extremo",""""))))))))))))))))))))))))</f>
        <v>Bajo</v>
      </c>
      <c r="N10" s="37">
        <v>1</v>
      </c>
      <c r="O10" s="27" t="s">
        <v>159</v>
      </c>
      <c r="P10" s="37" t="str">
        <f>IF(AND(Q10=[23]DESPLEGABLES!$A$43),"Probabilidad",IF(AND(Q10=[23]DESPLEGABLES!$A$44),"Probabilidad",IF(AND(Q10=[23]DESPLEGABLES!$A$45),"Impacto","")))</f>
        <v>Probabilidad</v>
      </c>
      <c r="Q10" s="44" t="s">
        <v>152</v>
      </c>
      <c r="R10" s="44" t="s">
        <v>153</v>
      </c>
      <c r="S10" s="45" t="str">
        <f>IF(AND(Q10=[23]DESPLEGABLES!$A$43,R10=[23]DESPLEGABLES!$A$53),"50%",IF(AND(Q10=[23]DESPLEGABLES!$A$43,R10=[23]DESPLEGABLES!$A$54),"40%",IF(AND(Q10=[23]DESPLEGABLES!$A$44,R10=[23]DESPLEGABLES!$A$53),"40%",IF(AND(Q10=[23]DESPLEGABLES!$A$44,R10=[23]DESPLEGABLES!$A$54),"30%",IF(AND(Q10=[23]DESPLEGABLES!$A$45,R10=[23]DESPLEGABLES!$A$53),"35%",IF(AND(Q10=[23]DESPLEGABLES!$A$45,R10=[23]DESPLEGABLES!$A$54),"25%",""))))))</f>
        <v>40%</v>
      </c>
      <c r="T10" s="44" t="s">
        <v>154</v>
      </c>
      <c r="U10" s="44" t="s">
        <v>155</v>
      </c>
      <c r="V10" s="44" t="s">
        <v>156</v>
      </c>
      <c r="W10" s="46">
        <f>IFERROR(IF(P10="Probabilidad",(I10-(+I10*S10)),IF(P10="Impacto",I10,"")),"")</f>
        <v>0.12</v>
      </c>
      <c r="X10" s="45" t="str">
        <f>IF(AND(W10&lt;=20%,W10&gt;=1%),"Muy Baja",IF(AND(W10&lt;=40%,W10&gt;=21%),"Baja",IF(AND(W10&lt;=60%,W10&gt;=41%),"Media",IF(AND(W10&lt;=80%,W10&gt;=61%),"Alta",IF(AND(W10&lt;=100%,W10&gt;=81%),"Muy Alta","")))))</f>
        <v>Muy Baja</v>
      </c>
      <c r="Y10" s="47">
        <f>W10</f>
        <v>0.12</v>
      </c>
      <c r="Z10" s="55" t="str">
        <f t="shared" ref="Z10" si="0">IF(AND(AB10&lt;="20%",AB10&gt;="1%"),"Leve",IF(AND(AB10&lt;="40%",AB10&gt;="21%"),"Menor",IF(AND(AB10&lt;=60%,AB10&gt;=41%),"Moderado",IF(AND(AB10&lt;="80%",AB10&gt;="61%"),"Mayor",IF(AND(AB10&lt;="100%",AB10&gt;="81%"),"Catastrófico"," ")))))</f>
        <v>Leve</v>
      </c>
      <c r="AA10" s="49" t="str">
        <f>AB10</f>
        <v>20%</v>
      </c>
      <c r="AB10" s="46" t="str">
        <f>IFERROR(IF(P10="Impacto",(L10-(+L10*S10)),IF(P10="Probabilidad",L10,"")),"")</f>
        <v>20%</v>
      </c>
      <c r="AC10" s="291">
        <f>LOOKUP(MAX(Y10:Y15)+1,(Y10:Y15))</f>
        <v>0.12</v>
      </c>
      <c r="AD10" s="288" t="str">
        <f>IF(AND(AC10&lt;=20%),"Muy Baja",IF(AND(AC10&gt;=21%,AC10&lt;=40%),"Baja",IF(AND(AC10&gt;=41%,AC10&lt;=60%),"Media",IF(AND(AC10&gt;=61%,AC10&lt;=80%),"Alta",IF(AND(AC10&gt;=100%),"Muy Alta",FALSE)))))</f>
        <v>Muy Baja</v>
      </c>
      <c r="AE10" s="308">
        <v>0.2</v>
      </c>
      <c r="AF10" s="288" t="str">
        <f>IF(AND(AE10&lt;=20%),"Leve",IF(AND(AE10&gt;=21%,AE10&lt;=40%),"Menor",IF(AND(AE10&gt;=41%,AE10&lt;=60%),"Moderado",IF(AND(AE10&gt;=61%,AE10&lt;=80%),"Mayor",IF(AND(AE10&gt;=100%),"Catastrófico",FALSE)))))</f>
        <v>Leve</v>
      </c>
      <c r="AG10" s="288" t="str">
        <f t="shared" ref="AG10" si="1">IF(OR(AND(AD10="Media",AF10="Leve"),AND(AD10="Alta",AF10="Leve"),AND(AD10="Alta",AF10="Menor"),AND(AD10="Media",AF10="Menor"),AND(AD10="Baja",AF10="Menor"),AND(AD10="Media",AF10="Moderado"),AND(AD10="Baja",AF10="Moderado"),AND(AD10="Muy Baja",AF10="Moderado")),"Moderado",IF(OR(AND(AD10="Baja",AF10="Leve"),AND(AD10="Muy Baja",AF10="Leve"),AND(AD10="Muy Baja",AF10="Menor")),"Bajo",IF(OR(AND(AD10="Muy Alta",AF10="Leve"),AND(AD10="Muy Alta",AF10="Menor"),AND(AD10="Muy Alta",AF10="Moderado"),AND(AD10="Alta",AF10="Moderado"),AND(AD10="Muy Alta",AF10="Mayor"),AND(AD10="Alta",AF10="Mayor"),AND(AD10="Media",AF10="Mayor"),AND(AD10="Baja",AF10="Mayor"),AND(AD10="Muy Baja",AF10="Mayor")),"Alto",IF(OR(AND(AD10="Alta",AF10="Catastrófico"),AND(AD10="Muy Alta",AF10="Catastrófico"),AND(AD10="Media",AF10="Catastrófico"),AND(AD10="Baja",AF10="Catastrófico"),AND(AD10="Muy Baja",AF10="Catastrófico")),"Extremo",IF(AF10="Catastrófico","Extremo")))))</f>
        <v>Bajo</v>
      </c>
      <c r="AH10" s="282" t="s">
        <v>111</v>
      </c>
      <c r="AI10" s="44"/>
      <c r="AJ10" s="44"/>
      <c r="AK10" s="35"/>
      <c r="AL10" s="35"/>
      <c r="AM10" s="36"/>
      <c r="AN10" s="37"/>
    </row>
    <row r="11" spans="1:40" s="26" customFormat="1" ht="24" customHeight="1" thickBot="1" x14ac:dyDescent="0.3">
      <c r="A11" s="301"/>
      <c r="B11" s="295"/>
      <c r="C11" s="306"/>
      <c r="D11" s="303"/>
      <c r="E11" s="286"/>
      <c r="F11" s="286"/>
      <c r="G11" s="295"/>
      <c r="H11" s="289"/>
      <c r="I11" s="289"/>
      <c r="J11" s="298"/>
      <c r="K11" s="289"/>
      <c r="L11" s="289"/>
      <c r="M11" s="289"/>
      <c r="N11" s="25">
        <v>2</v>
      </c>
      <c r="O11" s="68"/>
      <c r="P11" s="25"/>
      <c r="Q11" s="22"/>
      <c r="R11" s="22"/>
      <c r="S11" s="50" t="str">
        <f>IF(AND(Q11=[23]DESPLEGABLES!$A$43,R11=[23]DESPLEGABLES!$A$53),"50%",IF(AND(Q11=[23]DESPLEGABLES!$A$43,R11=[23]DESPLEGABLES!$A$54),"40%",IF(AND(Q11=[23]DESPLEGABLES!$A$44,R11=[23]DESPLEGABLES!$A$53),"40%",IF(AND(Q11=[23]DESPLEGABLES!$A$44,R11=[23]DESPLEGABLES!$A$54),"30%",IF(AND(Q11=[23]DESPLEGABLES!$A$45,R11=[23]DESPLEGABLES!$A$53),"35%",IF(AND(Q11=[23]DESPLEGABLES!$A$45,R11=[23]DESPLEGABLES!$A$54),"25%",""))))))</f>
        <v/>
      </c>
      <c r="T11" s="22"/>
      <c r="U11" s="22"/>
      <c r="V11" s="22"/>
      <c r="W11" s="51" t="str">
        <f>IFERROR(IF(AND(P10="Probabilidad",P11="Probabilidad"),(Y10-(+Y10*S11)),IF(P11="Probabilidad",(I10-(+I10*S11)),IF(P11="Impacto",Y10,""))),"")</f>
        <v/>
      </c>
      <c r="X11" s="45" t="str">
        <f t="shared" ref="X11:X15" si="2">IF(AND(W11&lt;=20%,W11&gt;=1%),"Muy Baja",IF(AND(W11&lt;=40%,W11&gt;=21%),"Baja",IF(AND(W11&lt;=60%,W11&gt;=41%),"Media",IF(AND(W11&lt;=80%,W11&gt;=61%),"Alta",IF(AND(W11&lt;=100%,W11&gt;=81%),"Muy Alta","")))))</f>
        <v/>
      </c>
      <c r="Y11" s="52" t="str">
        <f>W11</f>
        <v/>
      </c>
      <c r="Z11" s="48"/>
      <c r="AA11" s="53" t="str">
        <f t="shared" ref="AA11:AA15" si="3">AB11</f>
        <v/>
      </c>
      <c r="AB11" s="51" t="str">
        <f>IFERROR(IF(AND(P10="Impacto",P11="Impacto"),(AB10-(+AB10*S11)),IF(P11="Impacto",(L10-(+L10*S11)),IF(P11="Probabilidad",AB10,""))),"")</f>
        <v/>
      </c>
      <c r="AC11" s="292"/>
      <c r="AD11" s="289"/>
      <c r="AE11" s="309"/>
      <c r="AF11" s="289"/>
      <c r="AG11" s="289"/>
      <c r="AH11" s="283"/>
      <c r="AI11" s="22"/>
      <c r="AJ11" s="25"/>
      <c r="AK11" s="23"/>
      <c r="AL11" s="23"/>
      <c r="AM11" s="22"/>
      <c r="AN11" s="25"/>
    </row>
    <row r="12" spans="1:40" s="26" customFormat="1" ht="24" customHeight="1" thickBot="1" x14ac:dyDescent="0.3">
      <c r="A12" s="301"/>
      <c r="B12" s="295"/>
      <c r="C12" s="306"/>
      <c r="D12" s="303"/>
      <c r="E12" s="286"/>
      <c r="F12" s="286"/>
      <c r="G12" s="295"/>
      <c r="H12" s="289"/>
      <c r="I12" s="289"/>
      <c r="J12" s="298"/>
      <c r="K12" s="289"/>
      <c r="L12" s="289"/>
      <c r="M12" s="289"/>
      <c r="N12" s="25">
        <v>3</v>
      </c>
      <c r="O12" s="28"/>
      <c r="P12" s="25"/>
      <c r="Q12" s="22"/>
      <c r="R12" s="22"/>
      <c r="S12" s="50" t="str">
        <f>IF(AND(Q12=[23]DESPLEGABLES!$A$43,R12=[23]DESPLEGABLES!$A$53),"50%",IF(AND(Q12=[23]DESPLEGABLES!$A$43,R12=[23]DESPLEGABLES!$A$54),"40%",IF(AND(Q12=[23]DESPLEGABLES!$A$44,R12=[23]DESPLEGABLES!$A$53),"40%",IF(AND(Q12=[23]DESPLEGABLES!$A$44,R12=[23]DESPLEGABLES!$A$54),"30%",IF(AND(Q12=[23]DESPLEGABLES!$A$45,R12=[23]DESPLEGABLES!$A$53),"35%",IF(AND(Q12=[23]DESPLEGABLES!$A$45,R12=[23]DESPLEGABLES!$A$54),"25%",""))))))</f>
        <v/>
      </c>
      <c r="T12" s="22"/>
      <c r="U12" s="22"/>
      <c r="V12" s="22"/>
      <c r="W12" s="51" t="str">
        <f>IFERROR(IF(AND(P11="Probabilidad",P12="Probabilidad"),(Y11-(+Y11*S12)),IF(AND(P11="Impacto",P12="Probabilidad"),(Y10-(+Y10*S12)),IF(P12="Impacto",Y11,""))),"FALSO")</f>
        <v/>
      </c>
      <c r="X12" s="45" t="str">
        <f t="shared" si="2"/>
        <v/>
      </c>
      <c r="Y12" s="52" t="str">
        <f t="shared" ref="Y12:Y15" si="4">W12</f>
        <v/>
      </c>
      <c r="Z12" s="48"/>
      <c r="AA12" s="53" t="str">
        <f t="shared" si="3"/>
        <v/>
      </c>
      <c r="AB12" s="51" t="str">
        <f>IFERROR(IF(AND(P11="Impacto",P12="Impacto"),(AB11-(+AB11*S12)),IF(AND(P11="Probabilidad",P12="Impacto"),(AB10-(+AB10*S12)),IF(P12="Probabilidad",AB11,""))),"FALSO")</f>
        <v/>
      </c>
      <c r="AC12" s="292"/>
      <c r="AD12" s="289"/>
      <c r="AE12" s="309"/>
      <c r="AF12" s="289"/>
      <c r="AG12" s="289"/>
      <c r="AH12" s="283"/>
      <c r="AI12" s="22"/>
      <c r="AJ12" s="25"/>
      <c r="AK12" s="23"/>
      <c r="AL12" s="23"/>
      <c r="AM12" s="22"/>
      <c r="AN12" s="25"/>
    </row>
    <row r="13" spans="1:40" s="26" customFormat="1" ht="24" customHeight="1" thickBot="1" x14ac:dyDescent="0.3">
      <c r="A13" s="301"/>
      <c r="B13" s="295"/>
      <c r="C13" s="306"/>
      <c r="D13" s="303"/>
      <c r="E13" s="286"/>
      <c r="F13" s="286"/>
      <c r="G13" s="295"/>
      <c r="H13" s="289"/>
      <c r="I13" s="289"/>
      <c r="J13" s="298"/>
      <c r="K13" s="289"/>
      <c r="L13" s="289"/>
      <c r="M13" s="289"/>
      <c r="N13" s="25">
        <v>4</v>
      </c>
      <c r="O13" s="54"/>
      <c r="P13" s="25" t="str">
        <f>IF(AND(Q13=[23]DESPLEGABLES!$A$43),"Probabilidad",IF(AND(Q13=[23]DESPLEGABLES!$A$44),"Probabilidad",IF(AND(Q13=[23]DESPLEGABLES!$A$45),"Impacto","")))</f>
        <v/>
      </c>
      <c r="Q13" s="22"/>
      <c r="R13" s="22"/>
      <c r="S13" s="50" t="str">
        <f>IF(AND(Q13=[23]DESPLEGABLES!$A$43,R13=[23]DESPLEGABLES!$A$53),"50%",IF(AND(Q13=[23]DESPLEGABLES!$A$43,R13=[23]DESPLEGABLES!$A$54),"40%",IF(AND(Q13=[23]DESPLEGABLES!$A$44,R13=[23]DESPLEGABLES!$A$53),"40%",IF(AND(Q13=[23]DESPLEGABLES!$A$44,R13=[23]DESPLEGABLES!$A$54),"30%",IF(AND(Q13=[23]DESPLEGABLES!$A$45,R13=[23]DESPLEGABLES!$A$53),"35%",IF(AND(Q13=[23]DESPLEGABLES!$A$45,R13=[23]DESPLEGABLES!$A$54),"25%",""))))))</f>
        <v/>
      </c>
      <c r="T13" s="22"/>
      <c r="U13" s="22"/>
      <c r="V13" s="22"/>
      <c r="W13" s="51" t="str">
        <f t="shared" ref="W13:W15" si="5">IFERROR(IF(AND(P12="Probabilidad",P13="Probabilidad"),(Y12-(+Y12*S13)),IF(AND(P12="Impacto",P13="Probabilidad"),(Y11-(+Y11*S13)),IF(P13="Impacto",Y12,""))),"FALSO")</f>
        <v/>
      </c>
      <c r="X13" s="45" t="str">
        <f t="shared" si="2"/>
        <v/>
      </c>
      <c r="Y13" s="52" t="str">
        <f>W13</f>
        <v/>
      </c>
      <c r="Z13" s="55" t="str">
        <f>IF(AND(AB13&lt;=20%,AB13&gt;=1%),"Leve",IF(AND(AB13&lt;=40%,AB13&gt;=21%),"Menor",IF(AND(AB13&lt;=60%,AB13&gt;=41%),"Moderado",IF(AND(AB13&lt;=80%,AB13&gt;=61%),"Mayor",IF(AND(AB13&lt;=100%,AB13&gt;=81%),"Catastrófico"," ")))))</f>
        <v xml:space="preserve"> </v>
      </c>
      <c r="AA13" s="53" t="str">
        <f t="shared" si="3"/>
        <v/>
      </c>
      <c r="AB13" s="51" t="str">
        <f t="shared" ref="AB13:AB15" si="6">IFERROR(IF(AND(P12="Impacto",P13="Impacto"),(AB12-(+AB12*S13)),IF(AND(P12="Probabilidad",P13="Impacto"),(AB11-(+AB11*S13)),IF(P13="Probabilidad",AB12,""))),"FALSO")</f>
        <v/>
      </c>
      <c r="AC13" s="292"/>
      <c r="AD13" s="289"/>
      <c r="AE13" s="309"/>
      <c r="AF13" s="289"/>
      <c r="AG13" s="289"/>
      <c r="AH13" s="283"/>
      <c r="AI13" s="22"/>
      <c r="AJ13" s="25"/>
      <c r="AK13" s="23"/>
      <c r="AL13" s="23"/>
      <c r="AM13" s="22"/>
      <c r="AN13" s="25"/>
    </row>
    <row r="14" spans="1:40" s="26" customFormat="1" ht="24" customHeight="1" thickBot="1" x14ac:dyDescent="0.3">
      <c r="A14" s="301"/>
      <c r="B14" s="295"/>
      <c r="C14" s="306"/>
      <c r="D14" s="303"/>
      <c r="E14" s="286"/>
      <c r="F14" s="286"/>
      <c r="G14" s="295"/>
      <c r="H14" s="289"/>
      <c r="I14" s="289"/>
      <c r="J14" s="298"/>
      <c r="K14" s="289"/>
      <c r="L14" s="289"/>
      <c r="M14" s="289"/>
      <c r="N14" s="25">
        <v>5</v>
      </c>
      <c r="O14" s="54"/>
      <c r="P14" s="25" t="str">
        <f>IF(AND(Q14=[23]DESPLEGABLES!$A$43),"Probabilidad",IF(AND(Q14=[23]DESPLEGABLES!$A$44),"Probabilidad",IF(AND(Q14=[23]DESPLEGABLES!$A$45),"Impacto","")))</f>
        <v/>
      </c>
      <c r="Q14" s="22"/>
      <c r="R14" s="22"/>
      <c r="S14" s="50" t="str">
        <f>IF(AND(Q14=[23]DESPLEGABLES!$A$43,R14=[23]DESPLEGABLES!$A$53),"50%",IF(AND(Q14=[23]DESPLEGABLES!$A$43,R14=[23]DESPLEGABLES!$A$54),"40%",IF(AND(Q14=[23]DESPLEGABLES!$A$44,R14=[23]DESPLEGABLES!$A$53),"40%",IF(AND(Q14=[23]DESPLEGABLES!$A$44,R14=[23]DESPLEGABLES!$A$54),"30%",IF(AND(Q14=[23]DESPLEGABLES!$A$45,R14=[23]DESPLEGABLES!$A$53),"35%",IF(AND(Q14=[23]DESPLEGABLES!$A$45,R14=[23]DESPLEGABLES!$A$54),"25%",""))))))</f>
        <v/>
      </c>
      <c r="T14" s="22"/>
      <c r="U14" s="22"/>
      <c r="V14" s="22"/>
      <c r="W14" s="51" t="str">
        <f t="shared" si="5"/>
        <v/>
      </c>
      <c r="X14" s="45" t="str">
        <f t="shared" si="2"/>
        <v/>
      </c>
      <c r="Y14" s="52" t="str">
        <f t="shared" si="4"/>
        <v/>
      </c>
      <c r="Z14" s="55" t="str">
        <f t="shared" ref="Z14:Z15" si="7">IF(AND(AB14&lt;="20%",AB14&gt;="1%"),"Leve",IF(AND(AB14&lt;="40%",AB14&gt;="21%"),"Menor",IF(AND(AB14&lt;=60%,AB14&gt;=41%),"Moderado",IF(AND(AB14&lt;="80%",AB14&gt;="61%"),"Mayor",IF(AND(AB14&lt;="100%",AB14&gt;="81%"),"Catastrófico"," ")))))</f>
        <v xml:space="preserve"> </v>
      </c>
      <c r="AA14" s="53" t="str">
        <f t="shared" si="3"/>
        <v/>
      </c>
      <c r="AB14" s="51" t="str">
        <f t="shared" si="6"/>
        <v/>
      </c>
      <c r="AC14" s="292"/>
      <c r="AD14" s="289"/>
      <c r="AE14" s="309"/>
      <c r="AF14" s="289"/>
      <c r="AG14" s="289"/>
      <c r="AH14" s="283"/>
      <c r="AI14" s="22"/>
      <c r="AJ14" s="25"/>
      <c r="AK14" s="23"/>
      <c r="AL14" s="23"/>
      <c r="AM14" s="22"/>
      <c r="AN14" s="25"/>
    </row>
    <row r="15" spans="1:40" s="26" customFormat="1" ht="24" customHeight="1" thickBot="1" x14ac:dyDescent="0.3">
      <c r="A15" s="302"/>
      <c r="B15" s="296"/>
      <c r="C15" s="307"/>
      <c r="D15" s="304"/>
      <c r="E15" s="287"/>
      <c r="F15" s="287"/>
      <c r="G15" s="296"/>
      <c r="H15" s="290"/>
      <c r="I15" s="290"/>
      <c r="J15" s="299"/>
      <c r="K15" s="290"/>
      <c r="L15" s="290"/>
      <c r="M15" s="290"/>
      <c r="N15" s="56">
        <v>6</v>
      </c>
      <c r="O15" s="57"/>
      <c r="P15" s="56" t="str">
        <f>IF(AND(Q15=[23]DESPLEGABLES!$A$43),"Probabilidad",IF(AND(Q15=[23]DESPLEGABLES!$A$44),"Probabilidad",IF(AND(Q15=[23]DESPLEGABLES!$A$45),"Impacto","")))</f>
        <v/>
      </c>
      <c r="Q15" s="58"/>
      <c r="R15" s="58"/>
      <c r="S15" s="59" t="str">
        <f>IF(AND(Q15=[23]DESPLEGABLES!$A$43,R15=[23]DESPLEGABLES!$A$53),"50%",IF(AND(Q15=[23]DESPLEGABLES!$A$43,R15=[23]DESPLEGABLES!$A$54),"40%",IF(AND(Q15=[23]DESPLEGABLES!$A$44,R15=[23]DESPLEGABLES!$A$53),"40%",IF(AND(Q15=[23]DESPLEGABLES!$A$44,R15=[23]DESPLEGABLES!$A$54),"30%",IF(AND(Q15=[23]DESPLEGABLES!$A$45,R15=[23]DESPLEGABLES!$A$53),"35%",IF(AND(Q15=[23]DESPLEGABLES!$A$45,R15=[23]DESPLEGABLES!$A$54),"25%",""))))))</f>
        <v/>
      </c>
      <c r="T15" s="58"/>
      <c r="U15" s="58"/>
      <c r="V15" s="58"/>
      <c r="W15" s="60" t="str">
        <f t="shared" si="5"/>
        <v/>
      </c>
      <c r="X15" s="45" t="str">
        <f t="shared" si="2"/>
        <v/>
      </c>
      <c r="Y15" s="61" t="str">
        <f t="shared" si="4"/>
        <v/>
      </c>
      <c r="Z15" s="62" t="str">
        <f t="shared" si="7"/>
        <v xml:space="preserve"> </v>
      </c>
      <c r="AA15" s="63" t="str">
        <f t="shared" si="3"/>
        <v/>
      </c>
      <c r="AB15" s="60" t="str">
        <f t="shared" si="6"/>
        <v/>
      </c>
      <c r="AC15" s="293"/>
      <c r="AD15" s="290"/>
      <c r="AE15" s="310"/>
      <c r="AF15" s="290"/>
      <c r="AG15" s="290"/>
      <c r="AH15" s="284"/>
      <c r="AI15" s="58"/>
      <c r="AJ15" s="56"/>
      <c r="AK15" s="64"/>
      <c r="AL15" s="64"/>
      <c r="AM15" s="58"/>
      <c r="AN15" s="56"/>
    </row>
    <row r="16" spans="1:40" s="26" customFormat="1" ht="23.25" customHeight="1" x14ac:dyDescent="0.25">
      <c r="A16" s="300">
        <v>52</v>
      </c>
      <c r="B16" s="285" t="s">
        <v>115</v>
      </c>
      <c r="C16" s="393" t="s">
        <v>190</v>
      </c>
      <c r="D16" s="305" t="s">
        <v>167</v>
      </c>
      <c r="E16" s="285" t="s">
        <v>168</v>
      </c>
      <c r="F16" s="285" t="s">
        <v>191</v>
      </c>
      <c r="G16" s="294">
        <v>18000</v>
      </c>
      <c r="H16" s="288" t="str">
        <f>IF(AND(G16&lt;=2),"Muy Baja",IF(AND(G16&gt;=3,G16&lt;=23),"Baja",IF(AND(G16&gt;=24,G16&lt;=499),"Media",IF(AND(G16&gt;=500,G16&lt;=4999),"Alta",IF(AND(G16&gt;=5000),"Muy Alta",FALSE)))))</f>
        <v>Muy Alta</v>
      </c>
      <c r="I16" s="288" t="str">
        <f>IF(AND(G16&lt;=2),"20%",IF(AND(G16&gt;=3,G16&lt;=23),"40%",IF(AND(G16&gt;=24,G16&lt;=499),"60%",IF(AND(G16&gt;=500,G16&lt;=4999),"80%",IF(AND(G16&gt;=5000),"100%",FALSE)))))</f>
        <v>100%</v>
      </c>
      <c r="J16" s="297" t="s">
        <v>170</v>
      </c>
      <c r="K16" s="288" t="str">
        <f>IF(AND(J16=[24]DESPLEGABLES!$A$19),"Leve",IF(AND(J16=[24]DESPLEGABLES!$A$20),"Menor",IF(AND(J16=[24]DESPLEGABLES!$A$21),"Moderado",IF(AND(J16=[24]DESPLEGABLES!$A$22),"Mayor",IF(AND(J16=[24]DESPLEGABLES!$A$23),"Catastrófico",IF(AND(J16=[24]DESPLEGABLES!$A$25),"Leve",IF(AND(J16=[24]DESPLEGABLES!$A$26),"Menor",IF(AND(J16=[24]DESPLEGABLES!$A$27),"Moderado",IF(AND(J16=[24]DESPLEGABLES!$A$28),"Mayor",IF(AND(J16=[24]DESPLEGABLES!$A$29),"Catastrófico",IF(AND(J16=[24]DESPLEGABLES!$A$31),"Moderado",IF(AND(J16=[24]DESPLEGABLES!$A$32),"Mayor",IF(AND(J16=[24]DESPLEGABLES!$A$33),"Catastrófico","")))))))))))))</f>
        <v>Catastrófico</v>
      </c>
      <c r="L16" s="288" t="str">
        <f>IF(AND(K16="Leve"),"20%",IF(AND(K16="Menor"),"40%",IF(AND(K16="Moderado"),"60%",IF(AND(K16="Mayor"),"80%",IF(AND(K16="Catastrófico"),"100%","")))))</f>
        <v>100%</v>
      </c>
      <c r="M16" s="288" t="str">
        <f>IF(AND(I16&lt;="40%",L16="20%"),"Bajo",IF(AND(I16="60%",L16="20%"),"Moderado",IF(AND(I16="80%",L16="20%"),"Moderado",IF(AND(I16="100%",L16="20%"),"Alto",IF(AND(I16="20%",L16="40%"),"Bajo",IF(AND(I16="40%",L16="40%"),"Moderado",IF(AND(I16="60%",L16="40%"),"Moderado",IF(AND(I16="80%",L16="40%"),"Moderado",IF(AND(I16="100%",L16="40%"),"Alto",IF(AND(I16="20%",L16="60%"),"Moderado",IF(AND(I16="40%",L16="60%"),"Moderado",IF(AND(I16="60%",L16="60%"),"Moderado",IF(AND(I16="80%",L16="60%"),"Alto",IF(AND(I16="100%",L16="60%"),"Alto",IF(AND(I16="20%",L16="80%"),"Alto",IF(AND(I16="40%",L16="80%"),"Alto",IF(AND(I16="60%",L16="80%"),"Alto",IF(AND(I16="80%",L16="80%"),"Alto",IF(AND(I16="100%",L16="80%"),"Alto",IF(AND(I16="20%",L16="100%"),"Extremo",IF(AND(I16="40%",L16="100%"),"Extremo",IF(AND(I16="60%",L16="100%"),"Extremo",IF(AND(I16="80%",L16="100%"),"Moderado",IF(AND(I16="100%",L16="100%"),"Extremo",""))))))))))))))))))))))))</f>
        <v>Extremo</v>
      </c>
      <c r="N16" s="37">
        <v>1</v>
      </c>
      <c r="O16" s="69" t="s">
        <v>192</v>
      </c>
      <c r="P16" s="37" t="str">
        <f>IF(AND(Q16=[24]DESPLEGABLES!$A$43),"Probabilidad",IF(AND(Q16=[24]DESPLEGABLES!$A$44),"Probabilidad",IF(AND(Q16=[24]DESPLEGABLES!$A$45),"Impacto","")))</f>
        <v>Impacto</v>
      </c>
      <c r="Q16" s="44" t="s">
        <v>174</v>
      </c>
      <c r="R16" s="44" t="s">
        <v>153</v>
      </c>
      <c r="S16" s="45" t="str">
        <f>IF(AND(Q16=[24]DESPLEGABLES!$A$43,R16=[24]DESPLEGABLES!$A$53),"50%",IF(AND(Q16=[24]DESPLEGABLES!$A$43,R16=[24]DESPLEGABLES!$A$54),"40%",IF(AND(Q16=[24]DESPLEGABLES!$A$44,R16=[24]DESPLEGABLES!$A$53),"40%",IF(AND(Q16=[24]DESPLEGABLES!$A$44,R16=[24]DESPLEGABLES!$A$54),"30%",IF(AND(Q16=[24]DESPLEGABLES!$A$45,R16=[24]DESPLEGABLES!$A$53),"35%",IF(AND(Q16=[24]DESPLEGABLES!$A$45,R16=[24]DESPLEGABLES!$A$54),"25%",""))))))</f>
        <v>25%</v>
      </c>
      <c r="T16" s="44" t="s">
        <v>154</v>
      </c>
      <c r="U16" s="44" t="s">
        <v>155</v>
      </c>
      <c r="V16" s="44" t="s">
        <v>165</v>
      </c>
      <c r="W16" s="46" t="str">
        <f>IFERROR(IF(P16="Probabilidad",(I16-(+I16*S16)),IF(P16="Impacto",I16,"")),"")</f>
        <v>100%</v>
      </c>
      <c r="X16" s="45" t="s">
        <v>193</v>
      </c>
      <c r="Y16" s="47" t="str">
        <f>W16</f>
        <v>100%</v>
      </c>
      <c r="Z16" s="48" t="s">
        <v>183</v>
      </c>
      <c r="AA16" s="49">
        <f>AB16</f>
        <v>0.75</v>
      </c>
      <c r="AB16" s="46">
        <f>IFERROR(IF(P16="Impacto",(L16-(+L16*S16)),IF(P16="Probabilidad",L16,"")),"")</f>
        <v>0.75</v>
      </c>
      <c r="AC16" s="291" t="str">
        <f>Y16</f>
        <v>100%</v>
      </c>
      <c r="AD16" s="288" t="str">
        <f>IF(AND(AC16&lt;=20%),"Muy Baja",IF(AND(AC16&gt;=21%,AC16&lt;=40%),"Baja",IF(AND(AC16&gt;=41%,AC16&lt;=60%),"Media",IF(AND(AC16&gt;=61%,AC16&lt;=80%),"Alta",IF(AND(AC16&gt;=100%),"Muy Alta",FALSE)))))</f>
        <v>Muy Alta</v>
      </c>
      <c r="AE16" s="291">
        <f>LOOKUP(MAX(AB16:AB21)+1,(AB16:AB21))</f>
        <v>0.75</v>
      </c>
      <c r="AF16" s="288" t="str">
        <f t="shared" ref="AF16:AF22" si="8">IF(AND(AE16&lt;=20%),"Leve",IF(AND(AE16&gt;=21%,AE16&lt;=40%),"Menor",IF(AND(AE16&gt;=41%,AE16&lt;=60%),"Moderado",IF(AND(AE16&gt;=61%,AE16&lt;=80%),"Mayor",IF(AND(AE16&gt;=100%),"Catastrófico",FALSE)))))</f>
        <v>Mayor</v>
      </c>
      <c r="AG16" s="288" t="str">
        <f t="shared" ref="AG16:AG22" si="9">IF(OR(AND(AD16="Media",AF16="Leve"),AND(AD16="Alta",AF16="Leve"),AND(AD16="Alta",AF16="Menor"),AND(AD16="Media",AF16="Menor"),AND(AD16="Baja",AF16="Menor"),AND(AD16="Media",AF16="Moderado"),AND(AD16="Baja",AF16="Moderado"),AND(AD16="Muy Baja",AF16="Moderado")),"Moderado",IF(OR(AND(AD16="Baja",AF16="Leve"),AND(AD16="Muy Baja",AF16="Leve"),AND(AD16="Muy Baja",AF16="Menor")),"Bajo",IF(OR(AND(AD16="Muy Alta",AF16="Leve"),AND(AD16="Muy Alta",AF16="Menor"),AND(AD16="Muy Alta",AF16="Moderado"),AND(AD16="Alta",AF16="Moderado"),AND(AD16="Muy Alta",AF16="Mayor"),AND(AD16="Alta",AF16="Mayor"),AND(AD16="Media",AF16="Mayor"),AND(AD16="Baja",AF16="Mayor"),AND(AD16="Muy Baja",AF16="Mayor")),"Alto",IF(OR(AND(AD16="Alta",AF16="Catastrófico"),AND(AD16="Muy Alta",AF16="Catastrófico"),AND(AD16="Media",AF16="Catastrófico"),AND(AD16="Baja",AF16="Catastrófico"),AND(AD16="Muy Baja",AF16="Catastrófico")),"Extremo",IF(AF16="Catastrófico","Extremo")))))</f>
        <v>Alto</v>
      </c>
      <c r="AH16" s="282" t="s">
        <v>91</v>
      </c>
      <c r="AI16" s="44"/>
      <c r="AJ16" s="44"/>
      <c r="AK16" s="35"/>
      <c r="AL16" s="35"/>
      <c r="AM16" s="36"/>
      <c r="AN16" s="37"/>
    </row>
    <row r="17" spans="1:40" s="26" customFormat="1" ht="24" customHeight="1" x14ac:dyDescent="0.25">
      <c r="A17" s="301"/>
      <c r="B17" s="286"/>
      <c r="C17" s="306"/>
      <c r="D17" s="303"/>
      <c r="E17" s="286"/>
      <c r="F17" s="286"/>
      <c r="G17" s="295"/>
      <c r="H17" s="289"/>
      <c r="I17" s="289"/>
      <c r="J17" s="298"/>
      <c r="K17" s="289"/>
      <c r="L17" s="289"/>
      <c r="M17" s="289"/>
      <c r="N17" s="25">
        <v>2</v>
      </c>
      <c r="O17" s="69" t="s">
        <v>194</v>
      </c>
      <c r="P17" s="25" t="str">
        <f>IF(AND(Q17=[24]DESPLEGABLES!$A$43),"Probabilidad",IF(AND(Q17=[24]DESPLEGABLES!$A$44),"Probabilidad",IF(AND(Q17=[24]DESPLEGABLES!$A$45),"Impacto","")))</f>
        <v/>
      </c>
      <c r="Q17" s="22"/>
      <c r="R17" s="22"/>
      <c r="S17" s="50" t="str">
        <f>IF(AND(Q17=[24]DESPLEGABLES!$A$43,R17=[24]DESPLEGABLES!$A$53),"50%",IF(AND(Q17=[24]DESPLEGABLES!$A$43,R17=[24]DESPLEGABLES!$A$54),"40%",IF(AND(Q17=[24]DESPLEGABLES!$A$44,R17=[24]DESPLEGABLES!$A$53),"40%",IF(AND(Q17=[24]DESPLEGABLES!$A$44,R17=[24]DESPLEGABLES!$A$54),"30%",IF(AND(Q17=[24]DESPLEGABLES!$A$45,R17=[24]DESPLEGABLES!$A$53),"35%",IF(AND(Q17=[24]DESPLEGABLES!$A$45,R17=[24]DESPLEGABLES!$A$54),"25%",""))))))</f>
        <v/>
      </c>
      <c r="T17" s="22"/>
      <c r="U17" s="22"/>
      <c r="V17" s="22"/>
      <c r="W17" s="51" t="str">
        <f>IFERROR(IF(AND(P16="Probabilidad",P17="Probabilidad"),(Y16-(+Y16*S17)),IF(P17="Probabilidad",(I16-(+I16*S17)),IF(P17="Impacto",Y16,""))),"")</f>
        <v/>
      </c>
      <c r="X17" s="50" t="str">
        <f t="shared" ref="X17:X21" si="10">IF(AND(W17&lt;=20%,W17&gt;=1%),"Baja",IF(AND(W17&lt;=40%,W17&gt;=21%),"Baja",IF(AND(W17&lt;=60%,W17&gt;=41%),"Media",IF(AND(W17&lt;=80%,W17&gt;=61%),"Alta",IF(AND(W17&lt;=100%,W17&gt;=81%),"Muy Alta","")))))</f>
        <v/>
      </c>
      <c r="Y17" s="52" t="str">
        <f>W17</f>
        <v/>
      </c>
      <c r="Z17" s="55" t="str">
        <f t="shared" ref="Z17" si="11">IF(AND(AB17&lt;="20%",AB17&gt;="1%"),"Leve",IF(AND(AB17&lt;="40%",AB17&gt;="21%"),"Menor",IF(AND(AB17&lt;=60%,AB17&gt;=41%),"Moderado",IF(AND(AB17&lt;="80%",AB17&gt;="61%"),"Mayor",IF(AND(AB17&lt;="100%",AB17&gt;="81%"),"Catastrófico"," ")))))</f>
        <v xml:space="preserve"> </v>
      </c>
      <c r="AA17" s="53" t="str">
        <f t="shared" ref="AA17:AA21" si="12">AB17</f>
        <v/>
      </c>
      <c r="AB17" s="51" t="str">
        <f>IFERROR(IF(AND(P16="Impacto",P17="Impacto"),(AB16-(+AB16*S17)),IF(P17="Impacto",(L16-(+L16*S17)),IF(P17="Probabilidad",AB16,""))),"")</f>
        <v/>
      </c>
      <c r="AC17" s="292"/>
      <c r="AD17" s="289"/>
      <c r="AE17" s="292"/>
      <c r="AF17" s="289"/>
      <c r="AG17" s="289"/>
      <c r="AH17" s="283"/>
      <c r="AI17" s="22"/>
      <c r="AJ17" s="25"/>
      <c r="AK17" s="23"/>
      <c r="AL17" s="23"/>
      <c r="AM17" s="22"/>
      <c r="AN17" s="25"/>
    </row>
    <row r="18" spans="1:40" s="26" customFormat="1" ht="24" customHeight="1" x14ac:dyDescent="0.25">
      <c r="A18" s="301"/>
      <c r="B18" s="286"/>
      <c r="C18" s="306"/>
      <c r="D18" s="303"/>
      <c r="E18" s="286"/>
      <c r="F18" s="286"/>
      <c r="G18" s="295"/>
      <c r="H18" s="289"/>
      <c r="I18" s="289"/>
      <c r="J18" s="298"/>
      <c r="K18" s="289"/>
      <c r="L18" s="289"/>
      <c r="M18" s="289"/>
      <c r="N18" s="25">
        <v>3</v>
      </c>
      <c r="O18" s="69"/>
      <c r="P18" s="25" t="str">
        <f>IF(AND(Q18=[24]DESPLEGABLES!$A$43),"Probabilidad",IF(AND(Q18=[24]DESPLEGABLES!$A$44),"Probabilidad",IF(AND(Q18=[24]DESPLEGABLES!$A$45),"Impacto","")))</f>
        <v/>
      </c>
      <c r="Q18" s="22"/>
      <c r="R18" s="22"/>
      <c r="S18" s="50" t="str">
        <f>IF(AND(Q18=[24]DESPLEGABLES!$A$43,R18=[24]DESPLEGABLES!$A$53),"50%",IF(AND(Q18=[24]DESPLEGABLES!$A$43,R18=[24]DESPLEGABLES!$A$54),"40%",IF(AND(Q18=[24]DESPLEGABLES!$A$44,R18=[24]DESPLEGABLES!$A$53),"40%",IF(AND(Q18=[24]DESPLEGABLES!$A$44,R18=[24]DESPLEGABLES!$A$54),"30%",IF(AND(Q18=[24]DESPLEGABLES!$A$45,R18=[24]DESPLEGABLES!$A$53),"35%",IF(AND(Q18=[24]DESPLEGABLES!$A$45,R18=[24]DESPLEGABLES!$A$54),"25%",""))))))</f>
        <v/>
      </c>
      <c r="T18" s="22"/>
      <c r="U18" s="22"/>
      <c r="V18" s="22"/>
      <c r="W18" s="51" t="str">
        <f>IFERROR(IF(AND(P17="Probabilidad",P18="Probabilidad"),(Y17-(+Y17*S18)),IF(AND(P17="Impacto",P18="Probabilidad"),(Y16-(+Y16*S18)),IF(P18="Impacto",Y17,""))),"FALSO")</f>
        <v/>
      </c>
      <c r="X18" s="50" t="str">
        <f t="shared" si="10"/>
        <v/>
      </c>
      <c r="Y18" s="52" t="str">
        <f t="shared" ref="Y18" si="13">W18</f>
        <v/>
      </c>
      <c r="Z18" s="55" t="str">
        <f>IF(AND(AB18&lt;="20%",AB18&gt;="1%"),"Leve",IF(AND(AB18&lt;="40%",AB18&gt;="21%"),"Menor",IF(AND(AB18&lt;=60%,AB18&gt;=41%),"Moderado",IF(AND(AB18&lt;="80%",AB18&gt;="61%"),"Mayor",IF(AND(AB18&lt;="100%",AB18&gt;="81%"),"Catastrófico"," ")))))</f>
        <v xml:space="preserve"> </v>
      </c>
      <c r="AA18" s="53" t="str">
        <f t="shared" si="12"/>
        <v/>
      </c>
      <c r="AB18" s="51" t="str">
        <f>IFERROR(IF(AND(P17="Impacto",P18="Impacto"),(AB17-(+AB17*S18)),IF(AND(P17="Probabilidad",P18="Impacto"),(AB16-(+AB16*S18)),IF(P18="Probabilidad",AB17,""))),"FALSO")</f>
        <v/>
      </c>
      <c r="AC18" s="292"/>
      <c r="AD18" s="289"/>
      <c r="AE18" s="292"/>
      <c r="AF18" s="289"/>
      <c r="AG18" s="289"/>
      <c r="AH18" s="283"/>
      <c r="AI18" s="22"/>
      <c r="AJ18" s="25"/>
      <c r="AK18" s="23"/>
      <c r="AL18" s="23"/>
      <c r="AM18" s="22"/>
      <c r="AN18" s="25"/>
    </row>
    <row r="19" spans="1:40" s="26" customFormat="1" ht="24" customHeight="1" x14ac:dyDescent="0.25">
      <c r="A19" s="301"/>
      <c r="B19" s="286"/>
      <c r="C19" s="306"/>
      <c r="D19" s="303"/>
      <c r="E19" s="286"/>
      <c r="F19" s="286"/>
      <c r="G19" s="295"/>
      <c r="H19" s="289"/>
      <c r="I19" s="289"/>
      <c r="J19" s="298"/>
      <c r="K19" s="289"/>
      <c r="L19" s="289"/>
      <c r="M19" s="289"/>
      <c r="N19" s="25">
        <v>4</v>
      </c>
      <c r="O19" s="67"/>
      <c r="P19" s="25" t="str">
        <f>IF(AND(Q19=[24]DESPLEGABLES!$A$43),"Probabilidad",IF(AND(Q19=[24]DESPLEGABLES!$A$44),"Probabilidad",IF(AND(Q19=[24]DESPLEGABLES!$A$45),"Impacto","")))</f>
        <v/>
      </c>
      <c r="Q19" s="22"/>
      <c r="R19" s="22"/>
      <c r="S19" s="50" t="str">
        <f>IF(AND(Q19=[24]DESPLEGABLES!$A$43,R19=[24]DESPLEGABLES!$A$53),"50%",IF(AND(Q19=[24]DESPLEGABLES!$A$43,R19=[24]DESPLEGABLES!$A$54),"40%",IF(AND(Q19=[24]DESPLEGABLES!$A$44,R19=[24]DESPLEGABLES!$A$53),"40%",IF(AND(Q19=[24]DESPLEGABLES!$A$44,R19=[24]DESPLEGABLES!$A$54),"30%",IF(AND(Q19=[24]DESPLEGABLES!$A$45,R19=[24]DESPLEGABLES!$A$53),"35%",IF(AND(Q19=[24]DESPLEGABLES!$A$45,R19=[24]DESPLEGABLES!$A$54),"25%",""))))))</f>
        <v/>
      </c>
      <c r="T19" s="22"/>
      <c r="U19" s="22"/>
      <c r="V19" s="22"/>
      <c r="W19" s="51" t="str">
        <f t="shared" ref="W19:W21" si="14">IFERROR(IF(AND(P18="Probabilidad",P19="Probabilidad"),(Y18-(+Y18*S19)),IF(AND(P18="Impacto",P19="Probabilidad"),(Y17-(+Y17*S19)),IF(P19="Impacto",Y18,""))),"FALSO")</f>
        <v/>
      </c>
      <c r="X19" s="50" t="str">
        <f t="shared" si="10"/>
        <v/>
      </c>
      <c r="Y19" s="52" t="str">
        <f>W19</f>
        <v/>
      </c>
      <c r="Z19" s="55" t="str">
        <f>IF(AND(AB19&lt;=20%,AB19&gt;=1%),"Leve",IF(AND(AB19&lt;=40%,AB19&gt;=21%),"Menor",IF(AND(AB19&lt;=60%,AB19&gt;=41%),"Moderado",IF(AND(AB19&lt;=80%,AB19&gt;=61%),"Mayor",IF(AND(AB19&lt;=100%,AB19&gt;=81%),"Catastrófico"," ")))))</f>
        <v xml:space="preserve"> </v>
      </c>
      <c r="AA19" s="53" t="str">
        <f t="shared" si="12"/>
        <v/>
      </c>
      <c r="AB19" s="51" t="str">
        <f t="shared" ref="AB19:AB21" si="15">IFERROR(IF(AND(P18="Impacto",P19="Impacto"),(AB18-(+AB18*S19)),IF(AND(P18="Probabilidad",P19="Impacto"),(AB17-(+AB17*S19)),IF(P19="Probabilidad",AB18,""))),"FALSO")</f>
        <v/>
      </c>
      <c r="AC19" s="292"/>
      <c r="AD19" s="289"/>
      <c r="AE19" s="292"/>
      <c r="AF19" s="289"/>
      <c r="AG19" s="289"/>
      <c r="AH19" s="283"/>
      <c r="AI19" s="22"/>
      <c r="AJ19" s="25"/>
      <c r="AK19" s="23"/>
      <c r="AL19" s="23"/>
      <c r="AM19" s="22"/>
      <c r="AN19" s="25"/>
    </row>
    <row r="20" spans="1:40" s="26" customFormat="1" ht="24" customHeight="1" x14ac:dyDescent="0.25">
      <c r="A20" s="301"/>
      <c r="B20" s="286"/>
      <c r="C20" s="306"/>
      <c r="D20" s="303"/>
      <c r="E20" s="286"/>
      <c r="F20" s="286"/>
      <c r="G20" s="295"/>
      <c r="H20" s="289"/>
      <c r="I20" s="289"/>
      <c r="J20" s="298"/>
      <c r="K20" s="289"/>
      <c r="L20" s="289"/>
      <c r="M20" s="289"/>
      <c r="N20" s="25">
        <v>5</v>
      </c>
      <c r="O20" s="67"/>
      <c r="P20" s="25" t="str">
        <f>IF(AND(Q20=[24]DESPLEGABLES!$A$43),"Probabilidad",IF(AND(Q20=[24]DESPLEGABLES!$A$44),"Probabilidad",IF(AND(Q20=[24]DESPLEGABLES!$A$45),"Impacto","")))</f>
        <v/>
      </c>
      <c r="Q20" s="22"/>
      <c r="R20" s="22"/>
      <c r="S20" s="50" t="str">
        <f>IF(AND(Q20=[24]DESPLEGABLES!$A$43,R20=[24]DESPLEGABLES!$A$53),"50%",IF(AND(Q20=[24]DESPLEGABLES!$A$43,R20=[24]DESPLEGABLES!$A$54),"40%",IF(AND(Q20=[24]DESPLEGABLES!$A$44,R20=[24]DESPLEGABLES!$A$53),"40%",IF(AND(Q20=[24]DESPLEGABLES!$A$44,R20=[24]DESPLEGABLES!$A$54),"30%",IF(AND(Q20=[24]DESPLEGABLES!$A$45,R20=[24]DESPLEGABLES!$A$53),"35%",IF(AND(Q20=[24]DESPLEGABLES!$A$45,R20=[24]DESPLEGABLES!$A$54),"25%",""))))))</f>
        <v/>
      </c>
      <c r="T20" s="22"/>
      <c r="U20" s="22"/>
      <c r="V20" s="22"/>
      <c r="W20" s="51" t="str">
        <f t="shared" si="14"/>
        <v/>
      </c>
      <c r="X20" s="50" t="str">
        <f t="shared" si="10"/>
        <v/>
      </c>
      <c r="Y20" s="52" t="str">
        <f t="shared" ref="Y20:Y21" si="16">W20</f>
        <v/>
      </c>
      <c r="Z20" s="55" t="str">
        <f t="shared" ref="Z20:Z23" si="17">IF(AND(AB20&lt;="20%",AB20&gt;="1%"),"Leve",IF(AND(AB20&lt;="40%",AB20&gt;="21%"),"Menor",IF(AND(AB20&lt;=60%,AB20&gt;=41%),"Moderado",IF(AND(AB20&lt;="80%",AB20&gt;="61%"),"Mayor",IF(AND(AB20&lt;="100%",AB20&gt;="81%"),"Catastrófico"," ")))))</f>
        <v xml:space="preserve"> </v>
      </c>
      <c r="AA20" s="53" t="str">
        <f t="shared" si="12"/>
        <v/>
      </c>
      <c r="AB20" s="51" t="str">
        <f t="shared" si="15"/>
        <v/>
      </c>
      <c r="AC20" s="292"/>
      <c r="AD20" s="289"/>
      <c r="AE20" s="292"/>
      <c r="AF20" s="289"/>
      <c r="AG20" s="289"/>
      <c r="AH20" s="283"/>
      <c r="AI20" s="22"/>
      <c r="AJ20" s="25"/>
      <c r="AK20" s="23"/>
      <c r="AL20" s="23"/>
      <c r="AM20" s="22"/>
      <c r="AN20" s="25"/>
    </row>
    <row r="21" spans="1:40" s="26" customFormat="1" ht="24" customHeight="1" thickBot="1" x14ac:dyDescent="0.3">
      <c r="A21" s="302"/>
      <c r="B21" s="287"/>
      <c r="C21" s="307"/>
      <c r="D21" s="304"/>
      <c r="E21" s="287"/>
      <c r="F21" s="287"/>
      <c r="G21" s="296"/>
      <c r="H21" s="290"/>
      <c r="I21" s="290"/>
      <c r="J21" s="299"/>
      <c r="K21" s="290"/>
      <c r="L21" s="290"/>
      <c r="M21" s="290"/>
      <c r="N21" s="56">
        <v>6</v>
      </c>
      <c r="O21" s="70"/>
      <c r="P21" s="56" t="str">
        <f>IF(AND(Q21=[24]DESPLEGABLES!$A$43),"Probabilidad",IF(AND(Q21=[24]DESPLEGABLES!$A$44),"Probabilidad",IF(AND(Q21=[24]DESPLEGABLES!$A$45),"Impacto","")))</f>
        <v/>
      </c>
      <c r="Q21" s="58"/>
      <c r="R21" s="58"/>
      <c r="S21" s="59" t="str">
        <f>IF(AND(Q21=[24]DESPLEGABLES!$A$43,R21=[24]DESPLEGABLES!$A$53),"50%",IF(AND(Q21=[24]DESPLEGABLES!$A$43,R21=[24]DESPLEGABLES!$A$54),"40%",IF(AND(Q21=[24]DESPLEGABLES!$A$44,R21=[24]DESPLEGABLES!$A$53),"40%",IF(AND(Q21=[24]DESPLEGABLES!$A$44,R21=[24]DESPLEGABLES!$A$54),"30%",IF(AND(Q21=[24]DESPLEGABLES!$A$45,R21=[24]DESPLEGABLES!$A$53),"35%",IF(AND(Q21=[24]DESPLEGABLES!$A$45,R21=[24]DESPLEGABLES!$A$54),"25%",""))))))</f>
        <v/>
      </c>
      <c r="T21" s="58"/>
      <c r="U21" s="58"/>
      <c r="V21" s="58"/>
      <c r="W21" s="65" t="str">
        <f t="shared" si="14"/>
        <v/>
      </c>
      <c r="X21" s="59" t="str">
        <f t="shared" si="10"/>
        <v/>
      </c>
      <c r="Y21" s="66" t="str">
        <f t="shared" si="16"/>
        <v/>
      </c>
      <c r="Z21" s="62" t="str">
        <f t="shared" si="17"/>
        <v xml:space="preserve"> </v>
      </c>
      <c r="AA21" s="63" t="str">
        <f t="shared" si="12"/>
        <v/>
      </c>
      <c r="AB21" s="60" t="str">
        <f t="shared" si="15"/>
        <v/>
      </c>
      <c r="AC21" s="293"/>
      <c r="AD21" s="290"/>
      <c r="AE21" s="293"/>
      <c r="AF21" s="290"/>
      <c r="AG21" s="290"/>
      <c r="AH21" s="284"/>
      <c r="AI21" s="58"/>
      <c r="AJ21" s="56"/>
      <c r="AK21" s="64"/>
      <c r="AL21" s="64"/>
      <c r="AM21" s="58"/>
      <c r="AN21" s="56"/>
    </row>
    <row r="22" spans="1:40" s="26" customFormat="1" ht="23.25" customHeight="1" thickBot="1" x14ac:dyDescent="0.3">
      <c r="A22" s="300">
        <v>53</v>
      </c>
      <c r="B22" s="285" t="s">
        <v>115</v>
      </c>
      <c r="C22" s="393" t="s">
        <v>195</v>
      </c>
      <c r="D22" s="305" t="s">
        <v>149</v>
      </c>
      <c r="E22" s="285" t="s">
        <v>196</v>
      </c>
      <c r="F22" s="285" t="s">
        <v>197</v>
      </c>
      <c r="G22" s="294">
        <v>18000</v>
      </c>
      <c r="H22" s="288" t="str">
        <f>IF(AND(G22&lt;=2),"Muy Baja",IF(AND(G22&gt;=3,G22&lt;=23),"Baja",IF(AND(G22&gt;=24,G22&lt;=499),"Media",IF(AND(G22&gt;=500,G22&lt;=4999),"Alta",IF(AND(G22&gt;=5000),"Muy Alta",FALSE)))))</f>
        <v>Muy Alta</v>
      </c>
      <c r="I22" s="288" t="str">
        <f>IF(AND(G22&lt;=2),"20%",IF(AND(G22&gt;=3,G22&lt;=23),"40%",IF(AND(G22&gt;=24,G22&lt;=499),"60%",IF(AND(G22&gt;=500,G22&lt;=4999),"80%",IF(AND(G22&gt;=5000),"100%",FALSE)))))</f>
        <v>100%</v>
      </c>
      <c r="J22" s="297" t="s">
        <v>173</v>
      </c>
      <c r="K22" s="288" t="str">
        <f>IF(AND(J22=[24]DESPLEGABLES!$A$19),"Leve",IF(AND(J22=[24]DESPLEGABLES!$A$20),"Menor",IF(AND(J22=[24]DESPLEGABLES!$A$21),"Moderado",IF(AND(J22=[24]DESPLEGABLES!$A$22),"Mayor",IF(AND(J22=[24]DESPLEGABLES!$A$23),"Catastrófico",IF(AND(J22=[24]DESPLEGABLES!$A$25),"Leve",IF(AND(J22=[24]DESPLEGABLES!$A$26),"Menor",IF(AND(J22=[24]DESPLEGABLES!$A$27),"Moderado",IF(AND(J22=[24]DESPLEGABLES!$A$28),"Mayor",IF(AND(J22=[24]DESPLEGABLES!$A$29),"Catastrófico",IF(AND(J22=[24]DESPLEGABLES!$A$31),"Moderado",IF(AND(J22=[24]DESPLEGABLES!$A$32),"Mayor",IF(AND(J22=[24]DESPLEGABLES!$A$33),"Catastrófico","")))))))))))))</f>
        <v>Menor</v>
      </c>
      <c r="L22" s="288" t="str">
        <f>IF(AND(K22="Leve"),"20%",IF(AND(K22="Menor"),"40%",IF(AND(K22="Moderado"),"60%",IF(AND(K22="Mayor"),"80%",IF(AND(K22="Catastrófico"),"100%","")))))</f>
        <v>40%</v>
      </c>
      <c r="M22" s="288" t="str">
        <f>IF(AND(I22&lt;="40%",L22="20%"),"Bajo",IF(AND(I22="60%",L22="20%"),"Moderado",IF(AND(I22="80%",L22="20%"),"Moderado",IF(AND(I22="100%",L22="20%"),"Alto",IF(AND(I22="20%",L22="40%"),"Bajo",IF(AND(I22="40%",L22="40%"),"Moderado",IF(AND(I22="60%",L22="40%"),"Moderado",IF(AND(I22="80%",L22="40%"),"Moderado",IF(AND(I22="100%",L22="40%"),"Alto",IF(AND(I22="20%",L22="60%"),"Moderado",IF(AND(I22="40%",L22="60%"),"Moderado",IF(AND(I22="60%",L22="60%"),"Moderado",IF(AND(I22="80%",L22="60%"),"Alto",IF(AND(I22="100%",L22="60%"),"Alto",IF(AND(I22="20%",L22="80%"),"Alto",IF(AND(I22="40%",L22="80%"),"Alto",IF(AND(I22="60%",L22="80%"),"Alto",IF(AND(I22="80%",L22="80%"),"Alto",IF(AND(I22="100%",L22="80%"),"Alto",IF(AND(I22="20%",L22="100%"),"Extremo",IF(AND(I22="40%",L22="100%"),"Extremo",IF(AND(I22="60%",L22="100%"),"Extremo",IF(AND(I22="80%",L22="100%"),"Moderado",IF(AND(I22="100%",L22="100%"),"Extremo",""))))))))))))))))))))))))</f>
        <v>Alto</v>
      </c>
      <c r="N22" s="37">
        <v>1</v>
      </c>
      <c r="O22" s="27" t="s">
        <v>198</v>
      </c>
      <c r="P22" s="37" t="str">
        <f>IF(AND(Q22=[24]DESPLEGABLES!$A$43),"Probabilidad",IF(AND(Q22=[24]DESPLEGABLES!$A$44),"Probabilidad",IF(AND(Q22=[24]DESPLEGABLES!$A$45),"Impacto","")))</f>
        <v>Probabilidad</v>
      </c>
      <c r="Q22" s="44" t="s">
        <v>152</v>
      </c>
      <c r="R22" s="44" t="s">
        <v>153</v>
      </c>
      <c r="S22" s="45" t="str">
        <f>IF(AND(Q22=[24]DESPLEGABLES!$A$43,R22=[24]DESPLEGABLES!$A$53),"50%",IF(AND(Q22=[24]DESPLEGABLES!$A$43,R22=[24]DESPLEGABLES!$A$54),"40%",IF(AND(Q22=[24]DESPLEGABLES!$A$44,R22=[24]DESPLEGABLES!$A$53),"40%",IF(AND(Q22=[24]DESPLEGABLES!$A$44,R22=[24]DESPLEGABLES!$A$54),"30%",IF(AND(Q22=[24]DESPLEGABLES!$A$45,R22=[24]DESPLEGABLES!$A$53),"35%",IF(AND(Q22=[24]DESPLEGABLES!$A$45,R22=[24]DESPLEGABLES!$A$54),"25%",""))))))</f>
        <v>40%</v>
      </c>
      <c r="T22" s="44" t="s">
        <v>154</v>
      </c>
      <c r="U22" s="44" t="s">
        <v>155</v>
      </c>
      <c r="V22" s="44" t="s">
        <v>156</v>
      </c>
      <c r="W22" s="46">
        <f>IFERROR(IF(P22="Probabilidad",(I22-(+I22*S22)),IF(P22="Impacto",I22,"")),"")</f>
        <v>0.6</v>
      </c>
      <c r="X22" s="45" t="str">
        <f>IF(AND(W22&lt;=20%,W22&gt;=1%),"Baja",IF(AND(W22&lt;=40%,W22&gt;=21%),"Baja",IF(AND(W22&lt;=60%,W22&gt;=41%),"Media",IF(AND(W22&lt;=80%,W22&gt;=61%),"Alta",IF(AND(W22&lt;=100%,W22&gt;=81%),"Muy Alta","")))))</f>
        <v>Media</v>
      </c>
      <c r="Y22" s="47">
        <f>W22</f>
        <v>0.6</v>
      </c>
      <c r="Z22" s="48" t="str">
        <f t="shared" si="17"/>
        <v>Menor</v>
      </c>
      <c r="AA22" s="49" t="str">
        <f>AB22</f>
        <v>40%</v>
      </c>
      <c r="AB22" s="46" t="str">
        <f>IFERROR(IF(P22="Impacto",(L22-(+L22*S22)),IF(P22="Probabilidad",L22,"")),"")</f>
        <v>40%</v>
      </c>
      <c r="AC22" s="291">
        <f>LOOKUP(MAX(Y22:Y27)+1,(Y22:Y27))</f>
        <v>0.3</v>
      </c>
      <c r="AD22" s="288" t="str">
        <f>IF(AND(AC22&lt;=20%),"Muy Baja",IF(AND(AC22&gt;=21%,AC22&lt;=40%),"Baja",IF(AND(AC22&gt;=41%,AC22&lt;=60%),"Media",IF(AND(AC22&gt;=61%,AC22&lt;=80%),"Alta",IF(AND(AC22&gt;=100%),"Muy Alta",FALSE)))))</f>
        <v>Baja</v>
      </c>
      <c r="AE22" s="291">
        <v>0.4</v>
      </c>
      <c r="AF22" s="288" t="str">
        <f t="shared" si="8"/>
        <v>Menor</v>
      </c>
      <c r="AG22" s="288" t="str">
        <f t="shared" si="9"/>
        <v>Moderado</v>
      </c>
      <c r="AH22" s="282" t="s">
        <v>77</v>
      </c>
      <c r="AI22" s="22"/>
      <c r="AJ22" s="44"/>
      <c r="AK22" s="23"/>
      <c r="AL22" s="23"/>
      <c r="AM22" s="36"/>
      <c r="AN22" s="25"/>
    </row>
    <row r="23" spans="1:40" s="26" customFormat="1" ht="24" customHeight="1" x14ac:dyDescent="0.25">
      <c r="A23" s="301"/>
      <c r="B23" s="286"/>
      <c r="C23" s="306"/>
      <c r="D23" s="303"/>
      <c r="E23" s="286"/>
      <c r="F23" s="286"/>
      <c r="G23" s="295"/>
      <c r="H23" s="289"/>
      <c r="I23" s="289"/>
      <c r="J23" s="298"/>
      <c r="K23" s="289"/>
      <c r="L23" s="289"/>
      <c r="M23" s="289"/>
      <c r="N23" s="25">
        <v>2</v>
      </c>
      <c r="O23" s="69"/>
      <c r="P23" s="25" t="str">
        <f>IF(AND(Q23=[24]DESPLEGABLES!$A$43),"Probabilidad",IF(AND(Q23=[24]DESPLEGABLES!$A$44),"Probabilidad",IF(AND(Q23=[24]DESPLEGABLES!$A$45),"Impacto","")))</f>
        <v>Probabilidad</v>
      </c>
      <c r="Q23" s="22" t="s">
        <v>152</v>
      </c>
      <c r="R23" s="22" t="s">
        <v>171</v>
      </c>
      <c r="S23" s="50" t="str">
        <f>IF(AND(Q23=[24]DESPLEGABLES!$A$43,R23=[24]DESPLEGABLES!$A$53),"50%",IF(AND(Q23=[24]DESPLEGABLES!$A$43,R23=[24]DESPLEGABLES!$A$54),"40%",IF(AND(Q23=[24]DESPLEGABLES!$A$44,R23=[24]DESPLEGABLES!$A$53),"40%",IF(AND(Q23=[24]DESPLEGABLES!$A$44,R23=[24]DESPLEGABLES!$A$54),"30%",IF(AND(Q23=[24]DESPLEGABLES!$A$45,R23=[24]DESPLEGABLES!$A$53),"35%",IF(AND(Q23=[24]DESPLEGABLES!$A$45,R23=[24]DESPLEGABLES!$A$54),"25%",""))))))</f>
        <v>50%</v>
      </c>
      <c r="T23" s="22" t="s">
        <v>161</v>
      </c>
      <c r="U23" s="22" t="s">
        <v>155</v>
      </c>
      <c r="V23" s="22" t="s">
        <v>156</v>
      </c>
      <c r="W23" s="51">
        <f>IFERROR(IF(AND(P22="Probabilidad",P23="Probabilidad"),(Y22-(+Y22*S23)),IF(P23="Probabilidad",(I22-(+I22*S23)),IF(P23="Impacto",Y22,""))),"")</f>
        <v>0.3</v>
      </c>
      <c r="X23" s="50" t="str">
        <f t="shared" ref="X23:X27" si="18">IF(AND(W23&lt;=20%,W23&gt;=1%),"Baja",IF(AND(W23&lt;=40%,W23&gt;=21%),"Baja",IF(AND(W23&lt;=60%,W23&gt;=41%),"Media",IF(AND(W23&lt;=80%,W23&gt;=61%),"Alta",IF(AND(W23&lt;=100%,W23&gt;=81%),"Muy Alta","")))))</f>
        <v>Baja</v>
      </c>
      <c r="Y23" s="52">
        <f>W23</f>
        <v>0.3</v>
      </c>
      <c r="Z23" s="55" t="str">
        <f t="shared" si="17"/>
        <v>Menor</v>
      </c>
      <c r="AA23" s="53" t="str">
        <f t="shared" ref="AA23:AA27" si="19">AB23</f>
        <v>40%</v>
      </c>
      <c r="AB23" s="51" t="str">
        <f>IFERROR(IF(AND(P22="Impacto",P23="Impacto"),(AB22-(+AB22*S23)),IF(P23="Impacto",(L22-(+L22*S23)),IF(P23="Probabilidad",AB22,""))),"")</f>
        <v>40%</v>
      </c>
      <c r="AC23" s="292"/>
      <c r="AD23" s="289"/>
      <c r="AE23" s="292"/>
      <c r="AF23" s="289"/>
      <c r="AG23" s="289"/>
      <c r="AH23" s="283"/>
      <c r="AI23" s="22"/>
      <c r="AJ23" s="44"/>
      <c r="AK23" s="23"/>
      <c r="AL23" s="23"/>
      <c r="AM23" s="36"/>
      <c r="AN23" s="25"/>
    </row>
    <row r="24" spans="1:40" s="26" customFormat="1" ht="24" customHeight="1" x14ac:dyDescent="0.25">
      <c r="A24" s="301"/>
      <c r="B24" s="286"/>
      <c r="C24" s="306"/>
      <c r="D24" s="303"/>
      <c r="E24" s="286"/>
      <c r="F24" s="286"/>
      <c r="G24" s="295"/>
      <c r="H24" s="289"/>
      <c r="I24" s="289"/>
      <c r="J24" s="298"/>
      <c r="K24" s="289"/>
      <c r="L24" s="289"/>
      <c r="M24" s="289"/>
      <c r="N24" s="25">
        <v>3</v>
      </c>
      <c r="O24" s="69"/>
      <c r="P24" s="25" t="str">
        <f>IF(AND(Q24=[24]DESPLEGABLES!$A$43),"Probabilidad",IF(AND(Q24=[24]DESPLEGABLES!$A$44),"Probabilidad",IF(AND(Q24=[24]DESPLEGABLES!$A$45),"Impacto","")))</f>
        <v/>
      </c>
      <c r="Q24" s="22"/>
      <c r="R24" s="22"/>
      <c r="S24" s="50" t="str">
        <f>IF(AND(Q24=[24]DESPLEGABLES!$A$43,R24=[24]DESPLEGABLES!$A$53),"50%",IF(AND(Q24=[24]DESPLEGABLES!$A$43,R24=[24]DESPLEGABLES!$A$54),"40%",IF(AND(Q24=[24]DESPLEGABLES!$A$44,R24=[24]DESPLEGABLES!$A$53),"40%",IF(AND(Q24=[24]DESPLEGABLES!$A$44,R24=[24]DESPLEGABLES!$A$54),"30%",IF(AND(Q24=[24]DESPLEGABLES!$A$45,R24=[24]DESPLEGABLES!$A$53),"35%",IF(AND(Q24=[24]DESPLEGABLES!$A$45,R24=[24]DESPLEGABLES!$A$54),"25%",""))))))</f>
        <v/>
      </c>
      <c r="T24" s="22"/>
      <c r="U24" s="22"/>
      <c r="V24" s="22"/>
      <c r="W24" s="51" t="str">
        <f>IFERROR(IF(AND(P23="Probabilidad",P24="Probabilidad"),(Y23-(+Y23*S24)),IF(AND(P23="Impacto",P24="Probabilidad"),(Y22-(+Y22*S24)),IF(P24="Impacto",Y23,""))),"FALSO")</f>
        <v/>
      </c>
      <c r="X24" s="50" t="str">
        <f t="shared" si="18"/>
        <v/>
      </c>
      <c r="Y24" s="52" t="str">
        <f t="shared" ref="Y24" si="20">W24</f>
        <v/>
      </c>
      <c r="Z24" s="55" t="str">
        <f>IF(AND(AB24&lt;="20%",AB24&gt;="1%"),"Leve",IF(AND(AB24&lt;="40%",AB24&gt;="21%"),"Menor",IF(AND(AB24&lt;=60%,AB24&gt;=41%),"Moderado",IF(AND(AB24&lt;="80%",AB24&gt;="61%"),"Mayor",IF(AND(AB24&lt;="100%",AB24&gt;="81%"),"Catastrófico"," ")))))</f>
        <v xml:space="preserve"> </v>
      </c>
      <c r="AA24" s="53" t="str">
        <f t="shared" si="19"/>
        <v/>
      </c>
      <c r="AB24" s="51" t="str">
        <f>IFERROR(IF(AND(P23="Impacto",P24="Impacto"),(AB23-(+AB23*S24)),IF(AND(P23="Probabilidad",P24="Impacto"),(AB22-(+AB22*S24)),IF(P24="Probabilidad",AB23,""))),"FALSO")</f>
        <v/>
      </c>
      <c r="AC24" s="292"/>
      <c r="AD24" s="289"/>
      <c r="AE24" s="292"/>
      <c r="AF24" s="289"/>
      <c r="AG24" s="289"/>
      <c r="AH24" s="283"/>
      <c r="AI24" s="22"/>
      <c r="AJ24" s="25"/>
      <c r="AK24" s="23"/>
      <c r="AL24" s="23"/>
      <c r="AM24" s="22"/>
      <c r="AN24" s="25"/>
    </row>
    <row r="25" spans="1:40" s="26" customFormat="1" ht="24" customHeight="1" x14ac:dyDescent="0.25">
      <c r="A25" s="301"/>
      <c r="B25" s="286"/>
      <c r="C25" s="306"/>
      <c r="D25" s="303"/>
      <c r="E25" s="286"/>
      <c r="F25" s="286"/>
      <c r="G25" s="295"/>
      <c r="H25" s="289"/>
      <c r="I25" s="289"/>
      <c r="J25" s="298"/>
      <c r="K25" s="289"/>
      <c r="L25" s="289"/>
      <c r="M25" s="289"/>
      <c r="N25" s="25">
        <v>4</v>
      </c>
      <c r="O25" s="67"/>
      <c r="P25" s="25" t="str">
        <f>IF(AND(Q25=[24]DESPLEGABLES!$A$43),"Probabilidad",IF(AND(Q25=[24]DESPLEGABLES!$A$44),"Probabilidad",IF(AND(Q25=[24]DESPLEGABLES!$A$45),"Impacto","")))</f>
        <v/>
      </c>
      <c r="Q25" s="22"/>
      <c r="R25" s="22"/>
      <c r="S25" s="50" t="str">
        <f>IF(AND(Q25=[24]DESPLEGABLES!$A$43,R25=[24]DESPLEGABLES!$A$53),"50%",IF(AND(Q25=[24]DESPLEGABLES!$A$43,R25=[24]DESPLEGABLES!$A$54),"40%",IF(AND(Q25=[24]DESPLEGABLES!$A$44,R25=[24]DESPLEGABLES!$A$53),"40%",IF(AND(Q25=[24]DESPLEGABLES!$A$44,R25=[24]DESPLEGABLES!$A$54),"30%",IF(AND(Q25=[24]DESPLEGABLES!$A$45,R25=[24]DESPLEGABLES!$A$53),"35%",IF(AND(Q25=[24]DESPLEGABLES!$A$45,R25=[24]DESPLEGABLES!$A$54),"25%",""))))))</f>
        <v/>
      </c>
      <c r="T25" s="22"/>
      <c r="U25" s="22"/>
      <c r="V25" s="22"/>
      <c r="W25" s="51" t="str">
        <f t="shared" ref="W25:W27" si="21">IFERROR(IF(AND(P24="Probabilidad",P25="Probabilidad"),(Y24-(+Y24*S25)),IF(AND(P24="Impacto",P25="Probabilidad"),(Y23-(+Y23*S25)),IF(P25="Impacto",Y24,""))),"FALSO")</f>
        <v/>
      </c>
      <c r="X25" s="50" t="str">
        <f t="shared" si="18"/>
        <v/>
      </c>
      <c r="Y25" s="52" t="str">
        <f>W25</f>
        <v/>
      </c>
      <c r="Z25" s="55" t="str">
        <f>IF(AND(AB25&lt;=20%,AB25&gt;=1%),"Leve",IF(AND(AB25&lt;=40%,AB25&gt;=21%),"Menor",IF(AND(AB25&lt;=60%,AB25&gt;=41%),"Moderado",IF(AND(AB25&lt;=80%,AB25&gt;=61%),"Mayor",IF(AND(AB25&lt;=100%,AB25&gt;=81%),"Catastrófico"," ")))))</f>
        <v xml:space="preserve"> </v>
      </c>
      <c r="AA25" s="53" t="str">
        <f t="shared" si="19"/>
        <v/>
      </c>
      <c r="AB25" s="51" t="str">
        <f t="shared" ref="AB25:AB27" si="22">IFERROR(IF(AND(P24="Impacto",P25="Impacto"),(AB24-(+AB24*S25)),IF(AND(P24="Probabilidad",P25="Impacto"),(AB23-(+AB23*S25)),IF(P25="Probabilidad",AB24,""))),"FALSO")</f>
        <v/>
      </c>
      <c r="AC25" s="292"/>
      <c r="AD25" s="289"/>
      <c r="AE25" s="292"/>
      <c r="AF25" s="289"/>
      <c r="AG25" s="289"/>
      <c r="AH25" s="283"/>
      <c r="AI25" s="22"/>
      <c r="AJ25" s="25"/>
      <c r="AK25" s="23"/>
      <c r="AL25" s="23"/>
      <c r="AM25" s="22"/>
      <c r="AN25" s="25"/>
    </row>
    <row r="26" spans="1:40" s="26" customFormat="1" ht="24" customHeight="1" x14ac:dyDescent="0.25">
      <c r="A26" s="301"/>
      <c r="B26" s="286"/>
      <c r="C26" s="306"/>
      <c r="D26" s="303"/>
      <c r="E26" s="286"/>
      <c r="F26" s="286"/>
      <c r="G26" s="295"/>
      <c r="H26" s="289"/>
      <c r="I26" s="289"/>
      <c r="J26" s="298"/>
      <c r="K26" s="289"/>
      <c r="L26" s="289"/>
      <c r="M26" s="289"/>
      <c r="N26" s="25">
        <v>5</v>
      </c>
      <c r="O26" s="67"/>
      <c r="P26" s="25" t="str">
        <f>IF(AND(Q26=[24]DESPLEGABLES!$A$43),"Probabilidad",IF(AND(Q26=[24]DESPLEGABLES!$A$44),"Probabilidad",IF(AND(Q26=[24]DESPLEGABLES!$A$45),"Impacto","")))</f>
        <v/>
      </c>
      <c r="Q26" s="22"/>
      <c r="R26" s="22"/>
      <c r="S26" s="50" t="str">
        <f>IF(AND(Q26=[24]DESPLEGABLES!$A$43,R26=[24]DESPLEGABLES!$A$53),"50%",IF(AND(Q26=[24]DESPLEGABLES!$A$43,R26=[24]DESPLEGABLES!$A$54),"40%",IF(AND(Q26=[24]DESPLEGABLES!$A$44,R26=[24]DESPLEGABLES!$A$53),"40%",IF(AND(Q26=[24]DESPLEGABLES!$A$44,R26=[24]DESPLEGABLES!$A$54),"30%",IF(AND(Q26=[24]DESPLEGABLES!$A$45,R26=[24]DESPLEGABLES!$A$53),"35%",IF(AND(Q26=[24]DESPLEGABLES!$A$45,R26=[24]DESPLEGABLES!$A$54),"25%",""))))))</f>
        <v/>
      </c>
      <c r="T26" s="22"/>
      <c r="U26" s="22"/>
      <c r="V26" s="22"/>
      <c r="W26" s="51" t="str">
        <f t="shared" si="21"/>
        <v/>
      </c>
      <c r="X26" s="50" t="str">
        <f t="shared" si="18"/>
        <v/>
      </c>
      <c r="Y26" s="52" t="str">
        <f t="shared" ref="Y26:Y27" si="23">W26</f>
        <v/>
      </c>
      <c r="Z26" s="55" t="str">
        <f t="shared" ref="Z26:Z29" si="24">IF(AND(AB26&lt;="20%",AB26&gt;="1%"),"Leve",IF(AND(AB26&lt;="40%",AB26&gt;="21%"),"Menor",IF(AND(AB26&lt;=60%,AB26&gt;=41%),"Moderado",IF(AND(AB26&lt;="80%",AB26&gt;="61%"),"Mayor",IF(AND(AB26&lt;="100%",AB26&gt;="81%"),"Catastrófico"," ")))))</f>
        <v xml:space="preserve"> </v>
      </c>
      <c r="AA26" s="53" t="str">
        <f t="shared" si="19"/>
        <v/>
      </c>
      <c r="AB26" s="51" t="str">
        <f t="shared" si="22"/>
        <v/>
      </c>
      <c r="AC26" s="292"/>
      <c r="AD26" s="289"/>
      <c r="AE26" s="292"/>
      <c r="AF26" s="289"/>
      <c r="AG26" s="289"/>
      <c r="AH26" s="283"/>
      <c r="AI26" s="22"/>
      <c r="AJ26" s="25"/>
      <c r="AK26" s="23"/>
      <c r="AL26" s="23"/>
      <c r="AM26" s="22"/>
      <c r="AN26" s="25"/>
    </row>
    <row r="27" spans="1:40" s="26" customFormat="1" ht="24" customHeight="1" thickBot="1" x14ac:dyDescent="0.3">
      <c r="A27" s="302"/>
      <c r="B27" s="287"/>
      <c r="C27" s="307"/>
      <c r="D27" s="304"/>
      <c r="E27" s="287"/>
      <c r="F27" s="287"/>
      <c r="G27" s="296"/>
      <c r="H27" s="290"/>
      <c r="I27" s="290"/>
      <c r="J27" s="299"/>
      <c r="K27" s="290"/>
      <c r="L27" s="290"/>
      <c r="M27" s="290"/>
      <c r="N27" s="56">
        <v>6</v>
      </c>
      <c r="O27" s="70"/>
      <c r="P27" s="56" t="str">
        <f>IF(AND(Q27=[24]DESPLEGABLES!$A$43),"Probabilidad",IF(AND(Q27=[24]DESPLEGABLES!$A$44),"Probabilidad",IF(AND(Q27=[24]DESPLEGABLES!$A$45),"Impacto","")))</f>
        <v/>
      </c>
      <c r="Q27" s="58"/>
      <c r="R27" s="58"/>
      <c r="S27" s="59" t="str">
        <f>IF(AND(Q27=[24]DESPLEGABLES!$A$43,R27=[24]DESPLEGABLES!$A$53),"50%",IF(AND(Q27=[24]DESPLEGABLES!$A$43,R27=[24]DESPLEGABLES!$A$54),"40%",IF(AND(Q27=[24]DESPLEGABLES!$A$44,R27=[24]DESPLEGABLES!$A$53),"40%",IF(AND(Q27=[24]DESPLEGABLES!$A$44,R27=[24]DESPLEGABLES!$A$54),"30%",IF(AND(Q27=[24]DESPLEGABLES!$A$45,R27=[24]DESPLEGABLES!$A$53),"35%",IF(AND(Q27=[24]DESPLEGABLES!$A$45,R27=[24]DESPLEGABLES!$A$54),"25%",""))))))</f>
        <v/>
      </c>
      <c r="T27" s="58"/>
      <c r="U27" s="58"/>
      <c r="V27" s="58"/>
      <c r="W27" s="65" t="str">
        <f t="shared" si="21"/>
        <v/>
      </c>
      <c r="X27" s="59" t="str">
        <f t="shared" si="18"/>
        <v/>
      </c>
      <c r="Y27" s="66" t="str">
        <f t="shared" si="23"/>
        <v/>
      </c>
      <c r="Z27" s="62" t="str">
        <f t="shared" si="24"/>
        <v xml:space="preserve"> </v>
      </c>
      <c r="AA27" s="63" t="str">
        <f t="shared" si="19"/>
        <v/>
      </c>
      <c r="AB27" s="60" t="str">
        <f t="shared" si="22"/>
        <v/>
      </c>
      <c r="AC27" s="293"/>
      <c r="AD27" s="290"/>
      <c r="AE27" s="293"/>
      <c r="AF27" s="290"/>
      <c r="AG27" s="290"/>
      <c r="AH27" s="284"/>
      <c r="AI27" s="58"/>
      <c r="AJ27" s="56"/>
      <c r="AK27" s="64"/>
      <c r="AL27" s="64"/>
      <c r="AM27" s="58"/>
      <c r="AN27" s="56"/>
    </row>
    <row r="28" spans="1:40" s="26" customFormat="1" ht="34.5" customHeight="1" thickBot="1" x14ac:dyDescent="0.3">
      <c r="A28" s="300">
        <v>37</v>
      </c>
      <c r="B28" s="294" t="s">
        <v>177</v>
      </c>
      <c r="C28" s="393" t="s">
        <v>178</v>
      </c>
      <c r="D28" s="305" t="s">
        <v>149</v>
      </c>
      <c r="E28" s="285" t="s">
        <v>150</v>
      </c>
      <c r="F28" s="285" t="s">
        <v>169</v>
      </c>
      <c r="G28" s="294">
        <v>12</v>
      </c>
      <c r="H28" s="288" t="str">
        <f>IF(AND(G28&lt;=2),"Muy Baja",IF(AND(G28&gt;=3,G28&lt;=23),"Baja",IF(AND(G28&gt;=24,G28&lt;=499),"Media",IF(AND(G28&gt;=500,G28&lt;=4999),"Alta",IF(AND(G28&gt;=5000),"Muy Alta",FALSE)))))</f>
        <v>Baja</v>
      </c>
      <c r="I28" s="288" t="str">
        <f>IF(AND(G28&lt;=2),"20%",IF(AND(G28&gt;=3,G28&lt;=23),"40%",IF(AND(G28&gt;=24,G28&lt;=499),"60%",IF(AND(G28&gt;=500,G28&lt;=4999),"80%",IF(AND(G28&gt;=5000),"100%",FALSE)))))</f>
        <v>40%</v>
      </c>
      <c r="J28" s="297" t="s">
        <v>160</v>
      </c>
      <c r="K28" s="288" t="str">
        <f>IF(AND(J28=[25]DESPLEGABLES!$A$19),"Leve",IF(AND(J28=[25]DESPLEGABLES!$A$20),"Menor",IF(AND(J28=[25]DESPLEGABLES!$A$21),"Moderado",IF(AND(J28=[25]DESPLEGABLES!$A$22),"Mayor",IF(AND(J28=[25]DESPLEGABLES!$A$23),"Catastrófico",IF(AND(J28=[25]DESPLEGABLES!$A$25),"Leve",IF(AND(J28=[25]DESPLEGABLES!$A$26),"Menor",IF(AND(J28=[25]DESPLEGABLES!$A$27),"Moderado",IF(AND(J28=[25]DESPLEGABLES!$A$28),"Mayor",IF(AND(J28=[25]DESPLEGABLES!$A$29),"Catastrófico",IF(AND(J28=[25]DESPLEGABLES!$A$31),"Moderado",IF(AND(J28=[25]DESPLEGABLES!$A$32),"Mayor",IF(AND(J28=[25]DESPLEGABLES!$A$33),"Catastrófico","")))))))))))))</f>
        <v>Menor</v>
      </c>
      <c r="L28" s="288" t="str">
        <f>IF(AND(K28="Leve"),"20%",IF(AND(K28="Menor"),"40%",IF(AND(K28="Moderado"),"60%",IF(AND(K28="Mayor"),"80%",IF(AND(K28="Catastrófico"),"100%","")))))</f>
        <v>40%</v>
      </c>
      <c r="M28" s="288" t="str">
        <f>IF(AND(I28&lt;="40%",L28="20%"),"Bajo",IF(AND(I28="60%",L28="20%"),"Moderado",IF(AND(I28="80%",L28="20%"),"Moderado",IF(AND(I28="100%",L28="20%"),"Alto",IF(AND(I28="20%",L28="40%"),"Bajo",IF(AND(I28="40%",L28="40%"),"Moderado",IF(AND(I28="60%",L28="40%"),"Moderado",IF(AND(I28="80%",L28="40%"),"Moderado",IF(AND(I28="100%",L28="40%"),"Alto",IF(AND(I28="20%",L28="60%"),"Moderado",IF(AND(I28="40%",L28="60%"),"Moderado",IF(AND(I28="60%",L28="60%"),"Moderado",IF(AND(I28="80%",L28="60%"),"Alto",IF(AND(I28="100%",L28="60%"),"Alto",IF(AND(I28="20%",L28="80%"),"Alto",IF(AND(I28="40%",L28="80%"),"Alto",IF(AND(I28="60%",L28="80%"),"Alto",IF(AND(I28="80%",L28="80%"),"Alto",IF(AND(I28="100%",L28="80%"),"Alto",IF(AND(I28="20%",L28="100%"),"Extremo",IF(AND(I28="40%",L28="100%"),"Extremo",IF(AND(I28="60%",L28="100%"),"Extremo",IF(AND(I28="80%",L28="100%"),"Moderado",IF(AND(I28="100%",L28="100%"),"Extremo",""""))))))))))))))))))))))))</f>
        <v>Moderado</v>
      </c>
      <c r="N28" s="37">
        <v>1</v>
      </c>
      <c r="O28" s="27" t="s">
        <v>179</v>
      </c>
      <c r="P28" s="37" t="str">
        <f>IF(AND(Q28=[25]DESPLEGABLES!$A$43),"Probabilidad",IF(AND(Q28=[25]DESPLEGABLES!$A$44),"Probabilidad",IF(AND(Q28=[25]DESPLEGABLES!$A$45),"Impacto","")))</f>
        <v>Probabilidad</v>
      </c>
      <c r="Q28" s="44" t="s">
        <v>152</v>
      </c>
      <c r="R28" s="44" t="s">
        <v>171</v>
      </c>
      <c r="S28" s="45" t="str">
        <f>IF(AND(Q28=[25]DESPLEGABLES!$A$43,R28=[25]DESPLEGABLES!$A$53),"50%",IF(AND(Q28=[25]DESPLEGABLES!$A$43,R28=[25]DESPLEGABLES!$A$54),"40%",IF(AND(Q28=[25]DESPLEGABLES!$A$44,R28=[25]DESPLEGABLES!$A$53),"40%",IF(AND(Q28=[25]DESPLEGABLES!$A$44,R28=[25]DESPLEGABLES!$A$54),"30%",IF(AND(Q28=[25]DESPLEGABLES!$A$45,R28=[25]DESPLEGABLES!$A$53),"35%",IF(AND(Q28=[25]DESPLEGABLES!$A$45,R28=[25]DESPLEGABLES!$A$54),"25%",""))))))</f>
        <v>50%</v>
      </c>
      <c r="T28" s="44" t="s">
        <v>154</v>
      </c>
      <c r="U28" s="44" t="s">
        <v>155</v>
      </c>
      <c r="V28" s="44" t="s">
        <v>156</v>
      </c>
      <c r="W28" s="46">
        <f>IFERROR(IF(P28="Probabilidad",(I28-(+I28*S28)),IF(P28="Impacto",I28,"")),"")</f>
        <v>0.2</v>
      </c>
      <c r="X28" s="45" t="str">
        <f>IF(AND(W28&lt;=20%,W28&gt;=1%),"Muy Baja",IF(AND(W28&lt;=40%,W28&gt;=21%),"Baja",IF(AND(W28&lt;=60%,W28&gt;=41%),"Media",IF(AND(W28&lt;=80%,W28&gt;=61%),"Alta",IF(AND(W28&lt;=100%,W28&gt;=81%),"Muy Alta","")))))</f>
        <v>Muy Baja</v>
      </c>
      <c r="Y28" s="47">
        <f>W28</f>
        <v>0.2</v>
      </c>
      <c r="Z28" s="48" t="str">
        <f t="shared" si="24"/>
        <v>Menor</v>
      </c>
      <c r="AA28" s="49" t="str">
        <f>AB28</f>
        <v>40%</v>
      </c>
      <c r="AB28" s="46" t="str">
        <f>IFERROR(IF(P28="Impacto",(L28-(+L28*S28)),IF(P28="Probabilidad",L28,"")),"")</f>
        <v>40%</v>
      </c>
      <c r="AC28" s="291">
        <f>LOOKUP(MAX(Y28:Y33)+1,(Y28:Y33))</f>
        <v>0.2</v>
      </c>
      <c r="AD28" s="288" t="str">
        <f>IF(AND(AC28&lt;=20%),"Muy Baja",IF(AND(AC28&gt;=21%,AC28&lt;=40%),"Baja",IF(AND(AC28&gt;=41%,AC28&lt;=60%),"Media",IF(AND(AC28&gt;=61%,AC28&lt;=80%),"Alta",IF(AND(AC28&gt;=100%),"Muy Alta",FALSE)))))</f>
        <v>Muy Baja</v>
      </c>
      <c r="AE28" s="291">
        <v>0.4</v>
      </c>
      <c r="AF28" s="288" t="str">
        <f t="shared" ref="AF28" si="25">IF(AND(AE28&lt;=20%),"Leve",IF(AND(AE28&gt;=21%,AE28&lt;=40%),"Menor",IF(AND(AE28&gt;=41%,AE28&lt;=60%),"Moderado",IF(AND(AE28&gt;=61%,AE28&lt;=80%),"Mayor",IF(AND(AE28&gt;=100%),"Catastrófico",FALSE)))))</f>
        <v>Menor</v>
      </c>
      <c r="AG28" s="288" t="str">
        <f t="shared" ref="AG28" si="26">IF(OR(AND(AD28="Media",AF28="Leve"),AND(AD28="Alta",AF28="Leve"),AND(AD28="Alta",AF28="Menor"),AND(AD28="Media",AF28="Menor"),AND(AD28="Baja",AF28="Menor"),AND(AD28="Media",AF28="Moderado"),AND(AD28="Baja",AF28="Moderado"),AND(AD28="Muy Baja",AF28="Moderado")),"Moderado",IF(OR(AND(AD28="Baja",AF28="Leve"),AND(AD28="Muy Baja",AF28="Leve"),AND(AD28="Muy Baja",AF28="Menor")),"Bajo",IF(OR(AND(AD28="Muy Alta",AF28="Leve"),AND(AD28="Muy Alta",AF28="Menor"),AND(AD28="Muy Alta",AF28="Moderado"),AND(AD28="Alta",AF28="Moderado"),AND(AD28="Muy Alta",AF28="Mayor"),AND(AD28="Alta",AF28="Mayor"),AND(AD28="Media",AF28="Mayor"),AND(AD28="Baja",AF28="Mayor"),AND(AD28="Muy Baja",AF28="Mayor")),"Alto",IF(OR(AND(AD28="Alta",AF28="Catastrófico"),AND(AD28="Muy Alta",AF28="Catastrófico"),AND(AD28="Media",AF28="Catastrófico"),AND(AD28="Baja",AF28="Catastrófico"),AND(AD28="Muy Baja",AF28="Catastrófico")),"Extremo",IF(AF28="Catastrófico","Extremo")))))</f>
        <v>Bajo</v>
      </c>
      <c r="AH28" s="282" t="s">
        <v>111</v>
      </c>
      <c r="AI28" s="44"/>
      <c r="AJ28" s="44"/>
      <c r="AK28" s="35"/>
      <c r="AL28" s="35"/>
      <c r="AM28" s="36"/>
      <c r="AN28" s="37"/>
    </row>
    <row r="29" spans="1:40" s="26" customFormat="1" ht="24" customHeight="1" thickBot="1" x14ac:dyDescent="0.3">
      <c r="A29" s="301"/>
      <c r="B29" s="295"/>
      <c r="C29" s="306"/>
      <c r="D29" s="303"/>
      <c r="E29" s="286"/>
      <c r="F29" s="286"/>
      <c r="G29" s="295"/>
      <c r="H29" s="289"/>
      <c r="I29" s="289"/>
      <c r="J29" s="298"/>
      <c r="K29" s="289"/>
      <c r="L29" s="289"/>
      <c r="M29" s="289"/>
      <c r="N29" s="25">
        <v>2</v>
      </c>
      <c r="O29" s="68"/>
      <c r="P29" s="25" t="str">
        <f>IF(AND(Q29=[25]DESPLEGABLES!$A$43),"Probabilidad",IF(AND(Q29=[25]DESPLEGABLES!$A$44),"Probabilidad",IF(AND(Q29=[25]DESPLEGABLES!$A$45),"Impacto","")))</f>
        <v/>
      </c>
      <c r="Q29" s="22"/>
      <c r="R29" s="22"/>
      <c r="S29" s="50" t="str">
        <f>IF(AND(Q29=[25]DESPLEGABLES!$A$43,R29=[25]DESPLEGABLES!$A$53),"50%",IF(AND(Q29=[25]DESPLEGABLES!$A$43,R29=[25]DESPLEGABLES!$A$54),"40%",IF(AND(Q29=[25]DESPLEGABLES!$A$44,R29=[25]DESPLEGABLES!$A$53),"40%",IF(AND(Q29=[25]DESPLEGABLES!$A$44,R29=[25]DESPLEGABLES!$A$54),"30%",IF(AND(Q29=[25]DESPLEGABLES!$A$45,R29=[25]DESPLEGABLES!$A$53),"35%",IF(AND(Q29=[25]DESPLEGABLES!$A$45,R29=[25]DESPLEGABLES!$A$54),"25%",""))))))</f>
        <v/>
      </c>
      <c r="T29" s="22"/>
      <c r="U29" s="22"/>
      <c r="V29" s="22"/>
      <c r="W29" s="51" t="str">
        <f>IFERROR(IF(AND(P28="Probabilidad",P29="Probabilidad"),(Y28-(+Y28*S29)),IF(P29="Probabilidad",(I28-(+I28*S29)),IF(P29="Impacto",Y28,""))),"")</f>
        <v/>
      </c>
      <c r="X29" s="45" t="str">
        <f t="shared" ref="X29:X33" si="27">IF(AND(W29&lt;=20%,W29&gt;=1%),"Muy Baja",IF(AND(W29&lt;=40%,W29&gt;=21%),"Baja",IF(AND(W29&lt;=60%,W29&gt;=41%),"Media",IF(AND(W29&lt;=80%,W29&gt;=61%),"Alta",IF(AND(W29&lt;=100%,W29&gt;=81%),"Muy Alta","")))))</f>
        <v/>
      </c>
      <c r="Y29" s="52" t="str">
        <f>W29</f>
        <v/>
      </c>
      <c r="Z29" s="55" t="str">
        <f t="shared" si="24"/>
        <v xml:space="preserve"> </v>
      </c>
      <c r="AA29" s="53" t="str">
        <f t="shared" ref="AA29:AA33" si="28">AB29</f>
        <v/>
      </c>
      <c r="AB29" s="51" t="str">
        <f>IFERROR(IF(AND(P28="Impacto",P29="Impacto"),(AB28-(+AB28*S29)),IF(P29="Impacto",(L28-(+L28*S29)),IF(P29="Probabilidad",AB28,""))),"")</f>
        <v/>
      </c>
      <c r="AC29" s="292"/>
      <c r="AD29" s="289"/>
      <c r="AE29" s="292"/>
      <c r="AF29" s="289"/>
      <c r="AG29" s="289"/>
      <c r="AH29" s="283"/>
      <c r="AI29" s="22"/>
      <c r="AJ29" s="25"/>
      <c r="AK29" s="23"/>
      <c r="AL29" s="23"/>
      <c r="AM29" s="22"/>
      <c r="AN29" s="25"/>
    </row>
    <row r="30" spans="1:40" s="26" customFormat="1" ht="24" customHeight="1" thickBot="1" x14ac:dyDescent="0.3">
      <c r="A30" s="301"/>
      <c r="B30" s="295"/>
      <c r="C30" s="306"/>
      <c r="D30" s="303"/>
      <c r="E30" s="286"/>
      <c r="F30" s="286"/>
      <c r="G30" s="295"/>
      <c r="H30" s="289"/>
      <c r="I30" s="289"/>
      <c r="J30" s="298"/>
      <c r="K30" s="289"/>
      <c r="L30" s="289"/>
      <c r="M30" s="289"/>
      <c r="N30" s="25">
        <v>3</v>
      </c>
      <c r="O30" s="28"/>
      <c r="P30" s="25" t="str">
        <f>IF(AND(Q30=[25]DESPLEGABLES!$A$43),"Probabilidad",IF(AND(Q30=[25]DESPLEGABLES!$A$44),"Probabilidad",IF(AND(Q30=[25]DESPLEGABLES!$A$45),"Impacto","")))</f>
        <v/>
      </c>
      <c r="Q30" s="22"/>
      <c r="R30" s="22"/>
      <c r="S30" s="50" t="str">
        <f>IF(AND(Q30=[25]DESPLEGABLES!$A$43,R30=[25]DESPLEGABLES!$A$53),"50%",IF(AND(Q30=[25]DESPLEGABLES!$A$43,R30=[25]DESPLEGABLES!$A$54),"40%",IF(AND(Q30=[25]DESPLEGABLES!$A$44,R30=[25]DESPLEGABLES!$A$53),"40%",IF(AND(Q30=[25]DESPLEGABLES!$A$44,R30=[25]DESPLEGABLES!$A$54),"30%",IF(AND(Q30=[25]DESPLEGABLES!$A$45,R30=[25]DESPLEGABLES!$A$53),"35%",IF(AND(Q30=[25]DESPLEGABLES!$A$45,R30=[25]DESPLEGABLES!$A$54),"25%",""))))))</f>
        <v/>
      </c>
      <c r="T30" s="22"/>
      <c r="U30" s="22"/>
      <c r="V30" s="22"/>
      <c r="W30" s="51" t="str">
        <f>IFERROR(IF(AND(P29="Probabilidad",P30="Probabilidad"),(Y29-(+Y29*S30)),IF(AND(P29="Impacto",P30="Probabilidad"),(Y28-(+Y28*S30)),IF(P30="Impacto",Y29,""))),"FALSO")</f>
        <v/>
      </c>
      <c r="X30" s="45" t="str">
        <f t="shared" si="27"/>
        <v/>
      </c>
      <c r="Y30" s="52" t="str">
        <f t="shared" ref="Y30:Y33" si="29">W30</f>
        <v/>
      </c>
      <c r="Z30" s="55" t="str">
        <f>IF(AND(AB30&lt;="20%",AB30&gt;="1%"),"Leve",IF(AND(AB30&lt;="40%",AB30&gt;="21%"),"Menor",IF(AND(AB30&lt;=60%,AB30&gt;=41%),"Moderado",IF(AND(AB30&lt;="80%",AB30&gt;="61%"),"Mayor",IF(AND(AB30&lt;="100%",AB30&gt;="81%"),"Catastrófico"," ")))))</f>
        <v xml:space="preserve"> </v>
      </c>
      <c r="AA30" s="53" t="str">
        <f t="shared" si="28"/>
        <v/>
      </c>
      <c r="AB30" s="51" t="str">
        <f>IFERROR(IF(AND(P29="Impacto",P30="Impacto"),(AB29-(+AB29*S30)),IF(AND(P29="Probabilidad",P30="Impacto"),(AB28-(+AB28*S30)),IF(P30="Probabilidad",AB29,""))),"FALSO")</f>
        <v/>
      </c>
      <c r="AC30" s="292"/>
      <c r="AD30" s="289"/>
      <c r="AE30" s="292"/>
      <c r="AF30" s="289"/>
      <c r="AG30" s="289"/>
      <c r="AH30" s="283"/>
      <c r="AI30" s="22"/>
      <c r="AJ30" s="25"/>
      <c r="AK30" s="23"/>
      <c r="AL30" s="23"/>
      <c r="AM30" s="22"/>
      <c r="AN30" s="25"/>
    </row>
    <row r="31" spans="1:40" s="26" customFormat="1" ht="24" customHeight="1" thickBot="1" x14ac:dyDescent="0.3">
      <c r="A31" s="301"/>
      <c r="B31" s="295"/>
      <c r="C31" s="306"/>
      <c r="D31" s="303"/>
      <c r="E31" s="286"/>
      <c r="F31" s="286"/>
      <c r="G31" s="295"/>
      <c r="H31" s="289"/>
      <c r="I31" s="289"/>
      <c r="J31" s="298"/>
      <c r="K31" s="289"/>
      <c r="L31" s="289"/>
      <c r="M31" s="289"/>
      <c r="N31" s="25">
        <v>4</v>
      </c>
      <c r="O31" s="54"/>
      <c r="P31" s="25" t="str">
        <f>IF(AND(Q31=[25]DESPLEGABLES!$A$43),"Probabilidad",IF(AND(Q31=[25]DESPLEGABLES!$A$44),"Probabilidad",IF(AND(Q31=[25]DESPLEGABLES!$A$45),"Impacto","")))</f>
        <v/>
      </c>
      <c r="Q31" s="22"/>
      <c r="R31" s="22"/>
      <c r="S31" s="50" t="str">
        <f>IF(AND(Q31=[25]DESPLEGABLES!$A$43,R31=[25]DESPLEGABLES!$A$53),"50%",IF(AND(Q31=[25]DESPLEGABLES!$A$43,R31=[25]DESPLEGABLES!$A$54),"40%",IF(AND(Q31=[25]DESPLEGABLES!$A$44,R31=[25]DESPLEGABLES!$A$53),"40%",IF(AND(Q31=[25]DESPLEGABLES!$A$44,R31=[25]DESPLEGABLES!$A$54),"30%",IF(AND(Q31=[25]DESPLEGABLES!$A$45,R31=[25]DESPLEGABLES!$A$53),"35%",IF(AND(Q31=[25]DESPLEGABLES!$A$45,R31=[25]DESPLEGABLES!$A$54),"25%",""))))))</f>
        <v/>
      </c>
      <c r="T31" s="22"/>
      <c r="U31" s="22"/>
      <c r="V31" s="22"/>
      <c r="W31" s="51" t="str">
        <f t="shared" ref="W31:W33" si="30">IFERROR(IF(AND(P30="Probabilidad",P31="Probabilidad"),(Y30-(+Y30*S31)),IF(AND(P30="Impacto",P31="Probabilidad"),(Y29-(+Y29*S31)),IF(P31="Impacto",Y30,""))),"FALSO")</f>
        <v/>
      </c>
      <c r="X31" s="45" t="str">
        <f t="shared" si="27"/>
        <v/>
      </c>
      <c r="Y31" s="52" t="str">
        <f>W31</f>
        <v/>
      </c>
      <c r="Z31" s="55" t="str">
        <f>IF(AND(AB31&lt;=20%,AB31&gt;=1%),"Leve",IF(AND(AB31&lt;=40%,AB31&gt;=21%),"Menor",IF(AND(AB31&lt;=60%,AB31&gt;=41%),"Moderado",IF(AND(AB31&lt;=80%,AB31&gt;=61%),"Mayor",IF(AND(AB31&lt;=100%,AB31&gt;=81%),"Catastrófico"," ")))))</f>
        <v xml:space="preserve"> </v>
      </c>
      <c r="AA31" s="53" t="str">
        <f t="shared" si="28"/>
        <v/>
      </c>
      <c r="AB31" s="51" t="str">
        <f t="shared" ref="AB31:AB33" si="31">IFERROR(IF(AND(P30="Impacto",P31="Impacto"),(AB30-(+AB30*S31)),IF(AND(P30="Probabilidad",P31="Impacto"),(AB29-(+AB29*S31)),IF(P31="Probabilidad",AB30,""))),"FALSO")</f>
        <v/>
      </c>
      <c r="AC31" s="292"/>
      <c r="AD31" s="289"/>
      <c r="AE31" s="292"/>
      <c r="AF31" s="289"/>
      <c r="AG31" s="289"/>
      <c r="AH31" s="283"/>
      <c r="AI31" s="22"/>
      <c r="AJ31" s="25"/>
      <c r="AK31" s="23"/>
      <c r="AL31" s="23"/>
      <c r="AM31" s="22"/>
      <c r="AN31" s="25"/>
    </row>
    <row r="32" spans="1:40" s="26" customFormat="1" ht="24" customHeight="1" thickBot="1" x14ac:dyDescent="0.3">
      <c r="A32" s="301"/>
      <c r="B32" s="295"/>
      <c r="C32" s="306"/>
      <c r="D32" s="303"/>
      <c r="E32" s="286"/>
      <c r="F32" s="286"/>
      <c r="G32" s="295"/>
      <c r="H32" s="289"/>
      <c r="I32" s="289"/>
      <c r="J32" s="298"/>
      <c r="K32" s="289"/>
      <c r="L32" s="289"/>
      <c r="M32" s="289"/>
      <c r="N32" s="25">
        <v>5</v>
      </c>
      <c r="O32" s="54"/>
      <c r="P32" s="25" t="str">
        <f>IF(AND(Q32=[25]DESPLEGABLES!$A$43),"Probabilidad",IF(AND(Q32=[25]DESPLEGABLES!$A$44),"Probabilidad",IF(AND(Q32=[25]DESPLEGABLES!$A$45),"Impacto","")))</f>
        <v/>
      </c>
      <c r="Q32" s="22"/>
      <c r="R32" s="22"/>
      <c r="S32" s="50" t="str">
        <f>IF(AND(Q32=[25]DESPLEGABLES!$A$43,R32=[25]DESPLEGABLES!$A$53),"50%",IF(AND(Q32=[25]DESPLEGABLES!$A$43,R32=[25]DESPLEGABLES!$A$54),"40%",IF(AND(Q32=[25]DESPLEGABLES!$A$44,R32=[25]DESPLEGABLES!$A$53),"40%",IF(AND(Q32=[25]DESPLEGABLES!$A$44,R32=[25]DESPLEGABLES!$A$54),"30%",IF(AND(Q32=[25]DESPLEGABLES!$A$45,R32=[25]DESPLEGABLES!$A$53),"35%",IF(AND(Q32=[25]DESPLEGABLES!$A$45,R32=[25]DESPLEGABLES!$A$54),"25%",""))))))</f>
        <v/>
      </c>
      <c r="T32" s="22"/>
      <c r="U32" s="22"/>
      <c r="V32" s="22"/>
      <c r="W32" s="51" t="str">
        <f t="shared" si="30"/>
        <v/>
      </c>
      <c r="X32" s="45" t="str">
        <f t="shared" si="27"/>
        <v/>
      </c>
      <c r="Y32" s="52" t="str">
        <f t="shared" si="29"/>
        <v/>
      </c>
      <c r="Z32" s="55" t="str">
        <f t="shared" ref="Z32:Z35" si="32">IF(AND(AB32&lt;="20%",AB32&gt;="1%"),"Leve",IF(AND(AB32&lt;="40%",AB32&gt;="21%"),"Menor",IF(AND(AB32&lt;=60%,AB32&gt;=41%),"Moderado",IF(AND(AB32&lt;="80%",AB32&gt;="61%"),"Mayor",IF(AND(AB32&lt;="100%",AB32&gt;="81%"),"Catastrófico"," ")))))</f>
        <v xml:space="preserve"> </v>
      </c>
      <c r="AA32" s="53" t="str">
        <f t="shared" si="28"/>
        <v/>
      </c>
      <c r="AB32" s="51" t="str">
        <f t="shared" si="31"/>
        <v/>
      </c>
      <c r="AC32" s="292"/>
      <c r="AD32" s="289"/>
      <c r="AE32" s="292"/>
      <c r="AF32" s="289"/>
      <c r="AG32" s="289"/>
      <c r="AH32" s="283"/>
      <c r="AI32" s="22"/>
      <c r="AJ32" s="25"/>
      <c r="AK32" s="23"/>
      <c r="AL32" s="23"/>
      <c r="AM32" s="22"/>
      <c r="AN32" s="25"/>
    </row>
    <row r="33" spans="1:180" s="26" customFormat="1" ht="24" customHeight="1" thickBot="1" x14ac:dyDescent="0.3">
      <c r="A33" s="302"/>
      <c r="B33" s="296"/>
      <c r="C33" s="307"/>
      <c r="D33" s="304"/>
      <c r="E33" s="287"/>
      <c r="F33" s="287"/>
      <c r="G33" s="296"/>
      <c r="H33" s="290"/>
      <c r="I33" s="290"/>
      <c r="J33" s="299"/>
      <c r="K33" s="290"/>
      <c r="L33" s="290"/>
      <c r="M33" s="290"/>
      <c r="N33" s="56">
        <v>6</v>
      </c>
      <c r="O33" s="57"/>
      <c r="P33" s="56" t="str">
        <f>IF(AND(Q33=[25]DESPLEGABLES!$A$43),"Probabilidad",IF(AND(Q33=[25]DESPLEGABLES!$A$44),"Probabilidad",IF(AND(Q33=[25]DESPLEGABLES!$A$45),"Impacto","")))</f>
        <v/>
      </c>
      <c r="Q33" s="58"/>
      <c r="R33" s="58"/>
      <c r="S33" s="59" t="str">
        <f>IF(AND(Q33=[25]DESPLEGABLES!$A$43,R33=[25]DESPLEGABLES!$A$53),"50%",IF(AND(Q33=[25]DESPLEGABLES!$A$43,R33=[25]DESPLEGABLES!$A$54),"40%",IF(AND(Q33=[25]DESPLEGABLES!$A$44,R33=[25]DESPLEGABLES!$A$53),"40%",IF(AND(Q33=[25]DESPLEGABLES!$A$44,R33=[25]DESPLEGABLES!$A$54),"30%",IF(AND(Q33=[25]DESPLEGABLES!$A$45,R33=[25]DESPLEGABLES!$A$53),"35%",IF(AND(Q33=[25]DESPLEGABLES!$A$45,R33=[25]DESPLEGABLES!$A$54),"25%",""))))))</f>
        <v/>
      </c>
      <c r="T33" s="58"/>
      <c r="U33" s="58"/>
      <c r="V33" s="58"/>
      <c r="W33" s="60" t="str">
        <f t="shared" si="30"/>
        <v/>
      </c>
      <c r="X33" s="45" t="str">
        <f t="shared" si="27"/>
        <v/>
      </c>
      <c r="Y33" s="61" t="str">
        <f t="shared" si="29"/>
        <v/>
      </c>
      <c r="Z33" s="62" t="str">
        <f t="shared" si="32"/>
        <v xml:space="preserve"> </v>
      </c>
      <c r="AA33" s="63" t="str">
        <f t="shared" si="28"/>
        <v/>
      </c>
      <c r="AB33" s="60" t="str">
        <f t="shared" si="31"/>
        <v/>
      </c>
      <c r="AC33" s="293"/>
      <c r="AD33" s="290"/>
      <c r="AE33" s="293"/>
      <c r="AF33" s="290"/>
      <c r="AG33" s="290"/>
      <c r="AH33" s="284"/>
      <c r="AI33" s="58"/>
      <c r="AJ33" s="56"/>
      <c r="AK33" s="64"/>
      <c r="AL33" s="64"/>
      <c r="AM33" s="58"/>
      <c r="AN33" s="56"/>
    </row>
    <row r="34" spans="1:180" s="78" customFormat="1" ht="14.25" customHeight="1" thickBot="1" x14ac:dyDescent="0.25">
      <c r="A34" s="194">
        <v>60</v>
      </c>
      <c r="B34" s="324" t="s">
        <v>582</v>
      </c>
      <c r="C34" s="394" t="s">
        <v>615</v>
      </c>
      <c r="D34" s="213" t="s">
        <v>149</v>
      </c>
      <c r="E34" s="213" t="s">
        <v>150</v>
      </c>
      <c r="F34" s="213" t="s">
        <v>83</v>
      </c>
      <c r="G34" s="225">
        <v>24</v>
      </c>
      <c r="H34" s="213" t="str">
        <f>IF(AND(G34&lt;=2),"Muy Baja",IF(AND(G34&gt;=3,G34&lt;=23),"Baja",IF(AND(G34&gt;=24,G34&lt;=499),"Media",IF(AND(G34&gt;=500,G34&lt;=4999),"Alta",IF(AND(G34&gt;=5000),"Muy Alta",FALSE)))))</f>
        <v>Media</v>
      </c>
      <c r="I34" s="213" t="str">
        <f>IF(AND(G34&lt;=2),"20%",IF(AND(G34&gt;=3,G34&lt;=23),"40%",IF(AND(G34&gt;=24,G34&lt;=499),"60%",IF(AND(G34&gt;=500,G34&lt;=4999),"80%",IF(AND(G34&gt;=5000),"100%",FALSE)))))</f>
        <v>60%</v>
      </c>
      <c r="J34" s="213" t="s">
        <v>186</v>
      </c>
      <c r="K34" s="213" t="str">
        <f>IF(AND(J34=Matriz_riesgo_gesti_seguridad23!$FQ$4),"Leve",IF(AND(J34=Matriz_riesgo_gesti_seguridad23!$FQ$5),"Menor",IF(AND(J34=Matriz_riesgo_gesti_seguridad23!$FQ$6),"Moderado",IF(AND(J34=Matriz_riesgo_gesti_seguridad23!$FQ$7),"mayor",IF(AND(J34=Matriz_riesgo_gesti_seguridad23!$FQ$8),"Catastrófico",IF(AND(J34=Matriz_riesgo_gesti_seguridad23!$FQ$10),"Leve",IF(AND(J34=Matriz_riesgo_gesti_seguridad23!$FQ$11),"Menor",IF(AND(J34=Matriz_riesgo_gesti_seguridad23!$FQ$12),"Moderado",IF(AND(J34=Matriz_riesgo_gesti_seguridad23!$FQ$13),"Mayor",IF(AND(J34=Matriz_riesgo_gesti_seguridad23!$FQ$14),"Catastrófico",FALSE))))))))))</f>
        <v>Moderado</v>
      </c>
      <c r="L34" s="214" t="str">
        <f>IF(AND(K34="Leve"),"20%",IF(AND(K34="Menor"),"40%",IF(AND(K34="Moderado"),"60%",IF(AND(K34="Mayor"),"80%",IF(AND(K34="Catastrófico"),"100%","")))))</f>
        <v>60%</v>
      </c>
      <c r="M34" s="213" t="str">
        <f>IF(AND(I34&lt;="40%",L34="20%"),"Bajo",IF(AND(I34="60%",L34="20%"),"Moderado",IF(AND(I34="80%",L34="20%"),"Moderado",IF(AND(I34="100%",L34="20%"),"Alto",IF(AND(I34="20%",L34="40%"),"Bajo",IF(AND(I34="40%",L34="40%"),"Moderado",IF(AND(I34="60%",L34="40%"),"Moderado",IF(AND(I34="80%",L34="40%"),"Moderado",IF(AND(I34="100%",L34="40%"),"Alto",IF(AND(I34="20%",L34="60%"),"Moderado",IF(AND(I34="40%",L34="60%"),"Moderado",IF(AND(I34="60%",L34="60%"),"Moderado",IF(AND(I34="80%",L34="60%"),"Alto",IF(AND(I34="100%",L34="60%"),"Alto",IF(AND(I34="20%",L34="80%"),"Alto",IF(AND(I34="40%",L34="80%"),"Alto",IF(AND(I34="60%",L34="80%"),"Alto",IF(AND(I34="80%",L34="80%"),"Alto",IF(AND(I34="100%",L34="80%"),"Alto",IF(AND(I34="20%",L34="100%"),"Extremo",IF(AND(I34="40%",L34="100%"),"Extremo",IF(AND(I34="60%",L34="100%"),"Extremo",IF(AND(I34="80%",L34="100%"),"Moderado",IF(AND(I34="100%",L34="100%"),"Extremo",""""))))))))))))))))))))))))</f>
        <v>Moderado</v>
      </c>
      <c r="N34" s="103">
        <v>1</v>
      </c>
      <c r="O34" s="106" t="s">
        <v>613</v>
      </c>
      <c r="P34" s="104" t="s">
        <v>237</v>
      </c>
      <c r="Q34" s="104" t="s">
        <v>152</v>
      </c>
      <c r="R34" s="104" t="s">
        <v>153</v>
      </c>
      <c r="S34" s="104" t="str">
        <f>IF(AND(Q34=Matriz_riesgo_gesti_seguridad23!$FS$2,R34=Matriz_riesgo_gesti_seguridad23!$FT$2),"50%",IF(AND(Q34=Matriz_riesgo_gesti_seguridad23!$FS$2,R34=Matriz_riesgo_gesti_seguridad23!$FT$3),"40%",IF(AND(Q34=Matriz_riesgo_gesti_seguridad23!$FS$3,R34=Matriz_riesgo_gesti_seguridad23!$FT$2),"40%",IF(AND(Q34=Matriz_riesgo_gesti_seguridad23!$FS$3,R34=Matriz_riesgo_gesti_seguridad23!$FT$3),"30%",IF(AND(Q34=Matriz_riesgo_gesti_seguridad23!$FS$4,R34=Matriz_riesgo_gesti_seguridad23!$FT$2),"35%",IF(AND(Q34=Matriz_riesgo_gesti_seguridad23!$FS$4,R34=Matriz_riesgo_gesti_seguridad23!$FT$3),"25%",""))))))</f>
        <v>40%</v>
      </c>
      <c r="T34" s="104" t="s">
        <v>154</v>
      </c>
      <c r="U34" s="104" t="s">
        <v>155</v>
      </c>
      <c r="V34" s="104" t="s">
        <v>156</v>
      </c>
      <c r="W34" s="105">
        <f>IFERROR(IF(P34="Probabilidad",(I34-(+I34*S34)),IF(P34="Impacto",I34,"")),"")</f>
        <v>0.36</v>
      </c>
      <c r="X34" s="45" t="str">
        <f>IF(AND(W34&lt;=20%,W34&gt;=1%),"Muy Baja",IF(AND(W34&lt;=40%,W34&gt;=21%),"Baja",IF(AND(W34&lt;=60%,W34&gt;=41%),"Media",IF(AND(W34&lt;=80%,W34&gt;=61%),"Alta",IF(AND(W34&lt;=100%,W34&gt;=81%),"Muy Alta","")))))</f>
        <v>Baja</v>
      </c>
      <c r="Y34" s="47">
        <f>W34</f>
        <v>0.36</v>
      </c>
      <c r="Z34" s="48" t="s">
        <v>751</v>
      </c>
      <c r="AA34" s="49" t="str">
        <f>AB34</f>
        <v>60%</v>
      </c>
      <c r="AB34" s="46" t="str">
        <f>IFERROR(IF(P34="Impacto",(L34-(+L34*S34)),IF(P34="Probabilidad",L34,"")),"")</f>
        <v>60%</v>
      </c>
      <c r="AC34" s="291">
        <f>LOOKUP(MAX(Y34:Y39)+1,(Y34:Y39))</f>
        <v>0.36</v>
      </c>
      <c r="AD34" s="288" t="str">
        <f>IF(AND(AC34&lt;=20%),"Muy Baja",IF(AND(AC34&gt;=21%,AC34&lt;=40%),"Baja",IF(AND(AC34&gt;=41%,AC34&lt;=60%),"Media",IF(AND(AC34&gt;=61%,AC34&lt;=80%),"Alta",IF(AND(AC34&gt;=100%),"Muy Alta",FALSE)))))</f>
        <v>Baja</v>
      </c>
      <c r="AE34" s="291">
        <v>0.4</v>
      </c>
      <c r="AF34" s="288" t="str">
        <f t="shared" ref="AF34" si="33">IF(AND(AE34&lt;=20%),"Leve",IF(AND(AE34&gt;=21%,AE34&lt;=40%),"Menor",IF(AND(AE34&gt;=41%,AE34&lt;=60%),"Moderado",IF(AND(AE34&gt;=61%,AE34&lt;=80%),"Mayor",IF(AND(AE34&gt;=100%),"Catastrófico",FALSE)))))</f>
        <v>Menor</v>
      </c>
      <c r="AG34" s="288" t="str">
        <f t="shared" ref="AG34" si="34">IF(OR(AND(AD34="Media",AF34="Leve"),AND(AD34="Alta",AF34="Leve"),AND(AD34="Alta",AF34="Menor"),AND(AD34="Media",AF34="Menor"),AND(AD34="Baja",AF34="Menor"),AND(AD34="Media",AF34="Moderado"),AND(AD34="Baja",AF34="Moderado"),AND(AD34="Muy Baja",AF34="Moderado")),"Moderado",IF(OR(AND(AD34="Baja",AF34="Leve"),AND(AD34="Muy Baja",AF34="Leve"),AND(AD34="Muy Baja",AF34="Menor")),"Bajo",IF(OR(AND(AD34="Muy Alta",AF34="Leve"),AND(AD34="Muy Alta",AF34="Menor"),AND(AD34="Muy Alta",AF34="Moderado"),AND(AD34="Alta",AF34="Moderado"),AND(AD34="Muy Alta",AF34="Mayor"),AND(AD34="Alta",AF34="Mayor"),AND(AD34="Media",AF34="Mayor"),AND(AD34="Baja",AF34="Mayor"),AND(AD34="Muy Baja",AF34="Mayor")),"Alto",IF(OR(AND(AD34="Alta",AF34="Catastrófico"),AND(AD34="Muy Alta",AF34="Catastrófico"),AND(AD34="Media",AF34="Catastrófico"),AND(AD34="Baja",AF34="Catastrófico"),AND(AD34="Muy Baja",AF34="Catastrófico")),"Extremo",IF(AF34="Catastrófico","Extremo")))))</f>
        <v>Moderado</v>
      </c>
      <c r="AH34" s="213" t="s">
        <v>77</v>
      </c>
      <c r="AI34" s="101"/>
      <c r="AJ34" s="101"/>
      <c r="AK34" s="98"/>
      <c r="AL34" s="98"/>
      <c r="AM34" s="92"/>
      <c r="AN34" s="101"/>
      <c r="AO34" s="88"/>
      <c r="AP34" s="88"/>
      <c r="AQ34" s="88"/>
      <c r="AR34" s="88"/>
      <c r="AS34" s="88"/>
      <c r="AT34" s="88"/>
      <c r="AU34" s="88"/>
      <c r="AV34" s="88"/>
      <c r="FL34" s="89"/>
      <c r="FP34" s="80"/>
    </row>
    <row r="35" spans="1:180" s="78" customFormat="1" ht="14.25" customHeight="1" thickBot="1" x14ac:dyDescent="0.25">
      <c r="A35" s="194"/>
      <c r="B35" s="325"/>
      <c r="C35" s="394"/>
      <c r="D35" s="213"/>
      <c r="E35" s="213"/>
      <c r="F35" s="213"/>
      <c r="G35" s="225"/>
      <c r="H35" s="213"/>
      <c r="I35" s="213"/>
      <c r="J35" s="213"/>
      <c r="K35" s="213"/>
      <c r="L35" s="214"/>
      <c r="M35" s="213"/>
      <c r="N35" s="103"/>
      <c r="O35" s="106"/>
      <c r="P35" s="104"/>
      <c r="Q35" s="104"/>
      <c r="R35" s="104"/>
      <c r="S35" s="104"/>
      <c r="T35" s="104"/>
      <c r="U35" s="104"/>
      <c r="V35" s="104"/>
      <c r="W35" s="105" t="str">
        <f>IFERROR(IF(AND(P34="Probabilidad",P35="Probabilidad"),(W34-(+W34*S35)),IF(P35="Probabilidad",(I34-(+I34*S35)),IF(P35="Impacto",W34,""))),"")</f>
        <v/>
      </c>
      <c r="X35" s="45" t="str">
        <f t="shared" ref="X35:X39" si="35">IF(AND(W35&lt;=20%,W35&gt;=1%),"Muy Baja",IF(AND(W35&lt;=40%,W35&gt;=21%),"Baja",IF(AND(W35&lt;=60%,W35&gt;=41%),"Media",IF(AND(W35&lt;=80%,W35&gt;=61%),"Alta",IF(AND(W35&lt;=100%,W35&gt;=81%),"Muy Alta","")))))</f>
        <v/>
      </c>
      <c r="Y35" s="52" t="str">
        <f>W35</f>
        <v/>
      </c>
      <c r="Z35" s="55" t="str">
        <f t="shared" si="32"/>
        <v xml:space="preserve"> </v>
      </c>
      <c r="AA35" s="53" t="str">
        <f t="shared" ref="AA35:AA39" si="36">AB35</f>
        <v/>
      </c>
      <c r="AB35" s="51" t="str">
        <f>IFERROR(IF(AND(P34="Impacto",P35="Impacto"),(AB34-(+AB34*S35)),IF(P35="Impacto",(L34-(+L34*S35)),IF(P35="Probabilidad",AB34,""))),"")</f>
        <v/>
      </c>
      <c r="AC35" s="292"/>
      <c r="AD35" s="289"/>
      <c r="AE35" s="292"/>
      <c r="AF35" s="289"/>
      <c r="AG35" s="289"/>
      <c r="AH35" s="213"/>
      <c r="AI35" s="101"/>
      <c r="AJ35" s="101"/>
      <c r="AK35" s="98"/>
      <c r="AL35" s="98"/>
      <c r="AM35" s="101"/>
      <c r="AN35" s="101"/>
      <c r="AO35" s="88"/>
      <c r="AP35" s="88"/>
      <c r="AQ35" s="88"/>
      <c r="AR35" s="88"/>
      <c r="AS35" s="88"/>
      <c r="AT35" s="88"/>
      <c r="AU35" s="88"/>
      <c r="AV35" s="88"/>
      <c r="FL35" s="89"/>
      <c r="FO35" s="87"/>
    </row>
    <row r="36" spans="1:180" s="78" customFormat="1" ht="14.25" customHeight="1" thickBot="1" x14ac:dyDescent="0.3">
      <c r="A36" s="194"/>
      <c r="B36" s="325"/>
      <c r="C36" s="394"/>
      <c r="D36" s="213"/>
      <c r="E36" s="213"/>
      <c r="F36" s="213"/>
      <c r="G36" s="225"/>
      <c r="H36" s="213"/>
      <c r="I36" s="213"/>
      <c r="J36" s="213"/>
      <c r="K36" s="213"/>
      <c r="L36" s="214"/>
      <c r="M36" s="213"/>
      <c r="N36" s="103"/>
      <c r="O36" s="106"/>
      <c r="P36" s="104"/>
      <c r="Q36" s="104"/>
      <c r="R36" s="104"/>
      <c r="S36" s="104"/>
      <c r="T36" s="104"/>
      <c r="U36" s="104"/>
      <c r="V36" s="104"/>
      <c r="W36" s="105" t="str">
        <f>IFERROR(IF(AND(P35="Probabilidad",P36="Probabilidad"),(W35-(+W35*S36)),IF(P36="Probabilidad",(I35-(+I35*S36)),IF(P36="Impacto",W35,""))),"")</f>
        <v/>
      </c>
      <c r="X36" s="45" t="str">
        <f t="shared" si="35"/>
        <v/>
      </c>
      <c r="Y36" s="52" t="str">
        <f t="shared" ref="Y36" si="37">W36</f>
        <v/>
      </c>
      <c r="Z36" s="55" t="str">
        <f>IF(AND(AB36&lt;="20%",AB36&gt;="1%"),"Leve",IF(AND(AB36&lt;="40%",AB36&gt;="21%"),"Menor",IF(AND(AB36&lt;=60%,AB36&gt;=41%),"Moderado",IF(AND(AB36&lt;="80%",AB36&gt;="61%"),"Mayor",IF(AND(AB36&lt;="100%",AB36&gt;="81%"),"Catastrófico"," ")))))</f>
        <v xml:space="preserve"> </v>
      </c>
      <c r="AA36" s="53" t="str">
        <f t="shared" si="36"/>
        <v/>
      </c>
      <c r="AB36" s="51" t="str">
        <f>IFERROR(IF(AND(P35="Impacto",P36="Impacto"),(AB35-(+AB35*S36)),IF(AND(P35="Probabilidad",P36="Impacto"),(AB34-(+AB34*S36)),IF(P36="Probabilidad",AB35,""))),"FALSO")</f>
        <v/>
      </c>
      <c r="AC36" s="292"/>
      <c r="AD36" s="289"/>
      <c r="AE36" s="292"/>
      <c r="AF36" s="289"/>
      <c r="AG36" s="289"/>
      <c r="AH36" s="213"/>
      <c r="AI36" s="101"/>
      <c r="AJ36" s="101"/>
      <c r="AK36" s="98"/>
      <c r="AL36" s="98"/>
      <c r="AM36" s="101"/>
      <c r="AN36" s="101"/>
      <c r="AO36" s="88"/>
      <c r="AP36" s="88"/>
      <c r="AQ36" s="88"/>
      <c r="AR36" s="88"/>
      <c r="AS36" s="88"/>
      <c r="AT36" s="88"/>
      <c r="AU36" s="88"/>
      <c r="AV36" s="88"/>
      <c r="FL36" s="89"/>
    </row>
    <row r="37" spans="1:180" s="78" customFormat="1" ht="14.25" customHeight="1" thickBot="1" x14ac:dyDescent="0.3">
      <c r="A37" s="194"/>
      <c r="B37" s="325"/>
      <c r="C37" s="394"/>
      <c r="D37" s="213"/>
      <c r="E37" s="213"/>
      <c r="F37" s="213"/>
      <c r="G37" s="225"/>
      <c r="H37" s="213"/>
      <c r="I37" s="213"/>
      <c r="J37" s="213"/>
      <c r="K37" s="213"/>
      <c r="L37" s="214"/>
      <c r="M37" s="213"/>
      <c r="N37" s="103"/>
      <c r="O37" s="106"/>
      <c r="P37" s="104"/>
      <c r="Q37" s="104"/>
      <c r="R37" s="104"/>
      <c r="S37" s="104" t="str">
        <f>IF(AND(Q37=Matriz_riesgo_gesti_seguridad23!$FS$2,R37=Matriz_riesgo_gesti_seguridad23!$FT$2),"50%",IF(AND(Q37=Matriz_riesgo_gesti_seguridad23!$FS$2,R37=Matriz_riesgo_gesti_seguridad23!$FT$3),"40%",IF(AND(Q37=Matriz_riesgo_gesti_seguridad23!$FS$3,R37=Matriz_riesgo_gesti_seguridad23!$FT$2),"40%",IF(AND(Q37=Matriz_riesgo_gesti_seguridad23!$FS$3,R37=Matriz_riesgo_gesti_seguridad23!$FT$3),"30%",IF(AND(Q37=Matriz_riesgo_gesti_seguridad23!$FS$4,R37=Matriz_riesgo_gesti_seguridad23!$FT$2),"35%",IF(AND(Q37=Matriz_riesgo_gesti_seguridad23!$FS$4,R37=Matriz_riesgo_gesti_seguridad23!$FT$3),"25%",""))))))</f>
        <v/>
      </c>
      <c r="T37" s="104"/>
      <c r="U37" s="104"/>
      <c r="V37" s="104"/>
      <c r="W37" s="105" t="str">
        <f>IFERROR(IF(AND(P36="Probabilidad",P37="Probabilidad"),(W36-(+W36*S37)),IF(P37="Probabilidad",(I36-(+I36*S37)),IF(P37="Impacto",W36,""))),"")</f>
        <v/>
      </c>
      <c r="X37" s="45" t="str">
        <f t="shared" si="35"/>
        <v/>
      </c>
      <c r="Y37" s="52" t="str">
        <f>W37</f>
        <v/>
      </c>
      <c r="Z37" s="55" t="str">
        <f>IF(AND(AB37&lt;=20%,AB37&gt;=1%),"Leve",IF(AND(AB37&lt;=40%,AB37&gt;=21%),"Menor",IF(AND(AB37&lt;=60%,AB37&gt;=41%),"Moderado",IF(AND(AB37&lt;=80%,AB37&gt;=61%),"Mayor",IF(AND(AB37&lt;=100%,AB37&gt;=81%),"Catastrófico"," ")))))</f>
        <v xml:space="preserve"> </v>
      </c>
      <c r="AA37" s="53" t="str">
        <f t="shared" si="36"/>
        <v/>
      </c>
      <c r="AB37" s="51" t="str">
        <f t="shared" ref="AB37:AB39" si="38">IFERROR(IF(AND(P36="Impacto",P37="Impacto"),(AB36-(+AB36*S37)),IF(AND(P36="Probabilidad",P37="Impacto"),(AB35-(+AB35*S37)),IF(P37="Probabilidad",AB36,""))),"FALSO")</f>
        <v/>
      </c>
      <c r="AC37" s="292"/>
      <c r="AD37" s="289"/>
      <c r="AE37" s="292"/>
      <c r="AF37" s="289"/>
      <c r="AG37" s="289"/>
      <c r="AH37" s="213"/>
      <c r="AI37" s="101"/>
      <c r="AJ37" s="101"/>
      <c r="AK37" s="98"/>
      <c r="AL37" s="98"/>
      <c r="AM37" s="101"/>
      <c r="AN37" s="101"/>
      <c r="AO37" s="88"/>
      <c r="AP37" s="88"/>
      <c r="AQ37" s="88"/>
      <c r="AR37" s="88"/>
      <c r="AS37" s="88"/>
      <c r="AT37" s="88"/>
      <c r="AU37" s="88"/>
      <c r="AV37" s="88"/>
      <c r="FL37" s="89"/>
    </row>
    <row r="38" spans="1:180" s="78" customFormat="1" ht="14.25" customHeight="1" thickBot="1" x14ac:dyDescent="0.3">
      <c r="A38" s="194"/>
      <c r="B38" s="325"/>
      <c r="C38" s="394"/>
      <c r="D38" s="213"/>
      <c r="E38" s="213"/>
      <c r="F38" s="213"/>
      <c r="G38" s="225"/>
      <c r="H38" s="213"/>
      <c r="I38" s="213"/>
      <c r="J38" s="213"/>
      <c r="K38" s="213"/>
      <c r="L38" s="214"/>
      <c r="M38" s="213"/>
      <c r="N38" s="103"/>
      <c r="O38" s="106"/>
      <c r="P38" s="104"/>
      <c r="Q38" s="104"/>
      <c r="R38" s="104"/>
      <c r="S38" s="104" t="str">
        <f>IF(AND(Q38=Matriz_riesgo_gesti_seguridad23!$FS$2,R38=Matriz_riesgo_gesti_seguridad23!$FT$2),"50%",IF(AND(Q38=Matriz_riesgo_gesti_seguridad23!$FS$2,R38=Matriz_riesgo_gesti_seguridad23!$FT$3),"40%",IF(AND(Q38=Matriz_riesgo_gesti_seguridad23!$FS$3,R38=Matriz_riesgo_gesti_seguridad23!$FT$2),"40%",IF(AND(Q38=Matriz_riesgo_gesti_seguridad23!$FS$3,R38=Matriz_riesgo_gesti_seguridad23!$FT$3),"30%",IF(AND(Q38=Matriz_riesgo_gesti_seguridad23!$FS$4,R38=Matriz_riesgo_gesti_seguridad23!$FT$2),"35%",IF(AND(Q38=Matriz_riesgo_gesti_seguridad23!$FS$4,R38=Matriz_riesgo_gesti_seguridad23!$FT$3),"25%",""))))))</f>
        <v/>
      </c>
      <c r="T38" s="104"/>
      <c r="U38" s="104"/>
      <c r="V38" s="104"/>
      <c r="W38" s="105" t="str">
        <f>IFERROR(IF(AND(P37="Probabilidad",P38="Probabilidad"),(W37-(+W37*S38)),IF(P38="Probabilidad",(I37-(+I37*S38)),IF(P38="Impacto",W37,""))),"")</f>
        <v/>
      </c>
      <c r="X38" s="45" t="str">
        <f t="shared" si="35"/>
        <v/>
      </c>
      <c r="Y38" s="52" t="str">
        <f t="shared" ref="Y38:Y39" si="39">W38</f>
        <v/>
      </c>
      <c r="Z38" s="55" t="str">
        <f t="shared" ref="Z38:Z39" si="40">IF(AND(AB38&lt;="20%",AB38&gt;="1%"),"Leve",IF(AND(AB38&lt;="40%",AB38&gt;="21%"),"Menor",IF(AND(AB38&lt;=60%,AB38&gt;=41%),"Moderado",IF(AND(AB38&lt;="80%",AB38&gt;="61%"),"Mayor",IF(AND(AB38&lt;="100%",AB38&gt;="81%"),"Catastrófico"," ")))))</f>
        <v xml:space="preserve"> </v>
      </c>
      <c r="AA38" s="53" t="str">
        <f t="shared" si="36"/>
        <v/>
      </c>
      <c r="AB38" s="51" t="str">
        <f t="shared" si="38"/>
        <v/>
      </c>
      <c r="AC38" s="292"/>
      <c r="AD38" s="289"/>
      <c r="AE38" s="292"/>
      <c r="AF38" s="289"/>
      <c r="AG38" s="289"/>
      <c r="AH38" s="213"/>
      <c r="AI38" s="101"/>
      <c r="AJ38" s="101"/>
      <c r="AK38" s="98"/>
      <c r="AL38" s="98"/>
      <c r="AM38" s="101"/>
      <c r="AN38" s="101"/>
      <c r="AO38" s="88"/>
      <c r="AP38" s="88"/>
      <c r="AQ38" s="88"/>
      <c r="AR38" s="88"/>
      <c r="AS38" s="88"/>
      <c r="AT38" s="88"/>
      <c r="AU38" s="88"/>
      <c r="AV38" s="88"/>
      <c r="FL38" s="89"/>
    </row>
    <row r="39" spans="1:180" s="78" customFormat="1" ht="14.25" customHeight="1" thickBot="1" x14ac:dyDescent="0.25">
      <c r="A39" s="194"/>
      <c r="B39" s="325"/>
      <c r="C39" s="394"/>
      <c r="D39" s="213"/>
      <c r="E39" s="213"/>
      <c r="F39" s="213"/>
      <c r="G39" s="225"/>
      <c r="H39" s="213"/>
      <c r="I39" s="213"/>
      <c r="J39" s="213"/>
      <c r="K39" s="213"/>
      <c r="L39" s="214"/>
      <c r="M39" s="213"/>
      <c r="N39" s="103"/>
      <c r="O39" s="106"/>
      <c r="P39" s="104"/>
      <c r="Q39" s="104"/>
      <c r="R39" s="104"/>
      <c r="S39" s="104" t="str">
        <f>IF(AND(Q39=Matriz_riesgo_gesti_seguridad23!$FS$2,R39=Matriz_riesgo_gesti_seguridad23!$FT$2),"50%",IF(AND(Q39=Matriz_riesgo_gesti_seguridad23!$FS$2,R39=Matriz_riesgo_gesti_seguridad23!$FT$3),"40%",IF(AND(Q39=Matriz_riesgo_gesti_seguridad23!$FS$3,R39=Matriz_riesgo_gesti_seguridad23!$FT$2),"40%",IF(AND(Q39=Matriz_riesgo_gesti_seguridad23!$FS$3,R39=Matriz_riesgo_gesti_seguridad23!$FT$3),"30%",IF(AND(Q39=Matriz_riesgo_gesti_seguridad23!$FS$4,R39=Matriz_riesgo_gesti_seguridad23!$FT$2),"35%",IF(AND(Q39=Matriz_riesgo_gesti_seguridad23!$FS$4,R39=Matriz_riesgo_gesti_seguridad23!$FT$3),"25%",""))))))</f>
        <v/>
      </c>
      <c r="T39" s="104"/>
      <c r="U39" s="104"/>
      <c r="V39" s="104"/>
      <c r="W39" s="105" t="str">
        <f>IFERROR(IF(AND(P38="Probabilidad",P39="Probabilidad"),(W38-(+W38*S39)),IF(P39="Probabilidad",(I38-(+I38*S39)),IF(P39="Impacto",W38,""))),"")</f>
        <v/>
      </c>
      <c r="X39" s="45" t="str">
        <f t="shared" si="35"/>
        <v/>
      </c>
      <c r="Y39" s="61" t="str">
        <f t="shared" si="39"/>
        <v/>
      </c>
      <c r="Z39" s="62" t="str">
        <f t="shared" si="40"/>
        <v xml:space="preserve"> </v>
      </c>
      <c r="AA39" s="63" t="str">
        <f t="shared" si="36"/>
        <v/>
      </c>
      <c r="AB39" s="60" t="str">
        <f t="shared" si="38"/>
        <v/>
      </c>
      <c r="AC39" s="293"/>
      <c r="AD39" s="290"/>
      <c r="AE39" s="293"/>
      <c r="AF39" s="290"/>
      <c r="AG39" s="290"/>
      <c r="AH39" s="213"/>
      <c r="AI39" s="101"/>
      <c r="AJ39" s="101"/>
      <c r="AK39" s="98"/>
      <c r="AL39" s="98"/>
      <c r="AM39" s="101"/>
      <c r="AN39" s="101"/>
      <c r="AO39" s="88"/>
      <c r="AP39" s="88"/>
      <c r="AQ39" s="88"/>
      <c r="AR39" s="88"/>
      <c r="AS39" s="88"/>
      <c r="AT39" s="88"/>
      <c r="AU39" s="88"/>
      <c r="AV39" s="88"/>
      <c r="FL39" s="90"/>
      <c r="FM39" s="87"/>
      <c r="FN39" s="87"/>
      <c r="FP39" s="87"/>
      <c r="FQ39" s="87"/>
      <c r="FR39" s="87"/>
      <c r="FS39" s="87"/>
      <c r="FT39" s="87"/>
      <c r="FU39" s="87"/>
      <c r="FV39" s="87"/>
      <c r="FW39" s="87"/>
      <c r="FX39" s="87"/>
    </row>
    <row r="40" spans="1:180" s="164" customFormat="1" ht="13.5" customHeight="1" x14ac:dyDescent="0.25">
      <c r="A40" s="212">
        <v>84</v>
      </c>
      <c r="B40" s="213" t="s">
        <v>115</v>
      </c>
      <c r="C40" s="395" t="s">
        <v>773</v>
      </c>
      <c r="D40" s="224" t="s">
        <v>149</v>
      </c>
      <c r="E40" s="192" t="s">
        <v>270</v>
      </c>
      <c r="F40" s="225" t="s">
        <v>151</v>
      </c>
      <c r="G40" s="226">
        <v>360</v>
      </c>
      <c r="H40" s="192" t="str">
        <f>IF(AND(G40&lt;=2),"Muy Baja",IF(AND(G40&gt;=3,G40&lt;=23),"Baja",IF(AND(G40&gt;=24,G40&lt;=499),"Media",IF(AND(G40&gt;=500,G40&lt;=4999),"Alta",IF(AND(G40&gt;=5000),"Muy Alta",FALSE)))))</f>
        <v>Media</v>
      </c>
      <c r="I40" s="192" t="str">
        <f>IF(AND(G40&lt;=2),"20%",IF(AND(G40&gt;=3,G40&lt;=23),"40%",IF(AND(G40&gt;=24,G40&lt;=499),"60%",IF(AND(G40&gt;=500,G40&lt;=4999),"80%",IF(AND(G40&gt;=5000),"100%",FALSE)))))</f>
        <v>60%</v>
      </c>
      <c r="J40" s="192" t="s">
        <v>186</v>
      </c>
      <c r="K40" s="192" t="b">
        <f>IF(AND(J40=$FQ$4),"Leve",IF(AND(J40=$FQ$5),"Menor",IF(AND(J40=$FQ$6),"Moderado",IF(AND(J40=$FQ$7),"mayor",IF(AND(J40=$FQ$8),"Catastrófico",IF(AND(J40=$FQ$10),"Leve",IF(AND(J40=$FQ$11),"Menor",IF(AND(J40=$FQ$12),"Moderado",IF(AND(J40=$FQ$13),"Mayor",IF(AND(J40=$FQ$14),"Catastrófico",FALSE))))))))))</f>
        <v>0</v>
      </c>
      <c r="L40" s="191" t="str">
        <f>IF(AND(K40="Leve"),"20%",IF(AND(K40="Menor"),"40%",IF(AND(K40="Moderado"),"60%",IF(AND(K40="Mayor"),"80%",IF(AND(K40="Catastrófico"),"100%","")))))</f>
        <v/>
      </c>
      <c r="M40" s="192" t="e">
        <f>INDEX('[7]MATRIZ RIESGO'!$D$6:$H$10,MATCH(H40,'[7]MATRIZ RIESGO'!$C$6:$C$10,),MATCH(K40,'[7]MATRIZ RIESGO'!$D$5:$H$5,))</f>
        <v>#N/A</v>
      </c>
      <c r="N40" s="162">
        <v>1</v>
      </c>
      <c r="O40" s="162" t="s">
        <v>774</v>
      </c>
      <c r="P40" s="159"/>
      <c r="Q40" s="159"/>
      <c r="R40" s="159"/>
      <c r="S40" s="159" t="str">
        <f>IF(AND(Q40=$FS$2,R40=$FT$2),"50%",IF(AND(Q40=$FS$2,R40=$FT$3),"40%",IF(AND(Q40=$FS$3,R40=$FT$2),"40%",IF(AND(Q40=$FS$3,R40=$FT$3),"30%",IF(AND(Q40=$FS$4,R40=$FT$2),"35%",IF(AND(Q40=$FS$4,R40=$FT$3),"25%",""))))))</f>
        <v>50%</v>
      </c>
      <c r="T40" s="159"/>
      <c r="U40" s="159"/>
      <c r="V40" s="159"/>
      <c r="W40" s="160" t="str">
        <f>IFERROR(IF(P40="Probabilidad",(I40-(+I40*S40)),IF(P40="Impacto",I40,"")),"")</f>
        <v/>
      </c>
      <c r="X40" s="193">
        <v>0.6</v>
      </c>
      <c r="Y40" s="193">
        <f t="shared" ref="Y40" si="41">X40*1</f>
        <v>0.6</v>
      </c>
      <c r="Z40" s="192" t="str">
        <f t="shared" ref="Z40" si="42">IF(AND(Y40&lt;=20%),"Muy Baja",IF(AND(Y40&gt;=21%,Y40&lt;=40%),"Baja",IF(AND(Y40&gt;=41%,Y40&lt;=60%),"Media",IF(AND(Y40&gt;=61%,Y40&lt;=80%),"Alta",IF(AND(Y40&gt;=81%,Y40&gt;=100%),"Muy Alta",FALSE)))))</f>
        <v>Media</v>
      </c>
      <c r="AA40" s="160" t="str">
        <f>IFERROR(IF(P40="Impacto",(L40-(+L40*S40)),IF(P40="Probabilidad",L40,"")),"")</f>
        <v/>
      </c>
      <c r="AB40" s="193">
        <v>0.6</v>
      </c>
      <c r="AC40" s="196">
        <f>AB40*1</f>
        <v>0.6</v>
      </c>
      <c r="AD40" s="192" t="str">
        <f t="shared" ref="AD40" si="43">CHOOSE((AC40&gt;=0%)+(AC40&gt;=21%)+(AC40&gt;=41%)+(AC40&gt;=61%)+(AC40&gt;=81%),"Leve","Menor","Moderado","Mayor","Catastrófico")</f>
        <v>Moderado</v>
      </c>
      <c r="AE40" s="192" t="str">
        <f>INDEX('[7]MATRIZ RIESGO'!$D$6:$H$10,MATCH(Z40,'[7]MATRIZ RIESGO'!$C$6:$C$10,),MATCH(AD40,'[7]MATRIZ RIESGO'!$D$5:$H$5,))</f>
        <v>Moderado</v>
      </c>
      <c r="AF40" s="192" t="s">
        <v>77</v>
      </c>
      <c r="AG40" s="161" t="s">
        <v>775</v>
      </c>
      <c r="AH40" s="161" t="s">
        <v>776</v>
      </c>
      <c r="AI40" s="163"/>
      <c r="AJ40" s="161"/>
      <c r="AK40" s="161"/>
      <c r="AL40" s="161"/>
      <c r="AM40" s="216"/>
      <c r="AN40" s="216"/>
      <c r="FJ40" s="165"/>
      <c r="FN40" s="166"/>
    </row>
    <row r="41" spans="1:180" s="164" customFormat="1" ht="13.5" customHeight="1" x14ac:dyDescent="0.25">
      <c r="A41" s="212"/>
      <c r="B41" s="213"/>
      <c r="C41" s="395"/>
      <c r="D41" s="224"/>
      <c r="E41" s="192"/>
      <c r="F41" s="225"/>
      <c r="G41" s="226"/>
      <c r="H41" s="192"/>
      <c r="I41" s="192"/>
      <c r="J41" s="192"/>
      <c r="K41" s="192"/>
      <c r="L41" s="191"/>
      <c r="M41" s="192"/>
      <c r="N41" s="162"/>
      <c r="O41" s="162"/>
      <c r="P41" s="159"/>
      <c r="Q41" s="159"/>
      <c r="R41" s="159"/>
      <c r="S41" s="159"/>
      <c r="T41" s="159"/>
      <c r="U41" s="159"/>
      <c r="V41" s="159"/>
      <c r="W41" s="160" t="str">
        <f>IFERROR(IF(AND(P40="Probabilidad",P41="Probabilidad"),(W40-(+W40*S41)),IF(P41="Probabilidad",(I40-(+I40*S41)),IF(P41="Impacto",W40,""))),"")</f>
        <v/>
      </c>
      <c r="X41" s="193"/>
      <c r="Y41" s="193"/>
      <c r="Z41" s="192"/>
      <c r="AA41" s="160" t="str">
        <f>IFERROR(IF(AND(P40="Impacto",S41="Impacto"),(AA40-(+AA40*S41)),IF(P41="Impacto",(L40-(+L40*S41)),IF(P41="Probabilidad",AA40,""))),"")</f>
        <v/>
      </c>
      <c r="AB41" s="193"/>
      <c r="AC41" s="197"/>
      <c r="AD41" s="192"/>
      <c r="AE41" s="192"/>
      <c r="AF41" s="192"/>
      <c r="AG41" s="161" t="s">
        <v>777</v>
      </c>
      <c r="AH41" s="161" t="s">
        <v>762</v>
      </c>
      <c r="AI41" s="163"/>
      <c r="AJ41" s="161"/>
      <c r="AK41" s="161"/>
      <c r="AL41" s="161"/>
      <c r="AM41" s="216"/>
      <c r="AN41" s="216"/>
      <c r="FJ41" s="165"/>
    </row>
    <row r="42" spans="1:180" s="164" customFormat="1" ht="13.5" customHeight="1" x14ac:dyDescent="0.25">
      <c r="A42" s="212"/>
      <c r="B42" s="213"/>
      <c r="C42" s="395"/>
      <c r="D42" s="224"/>
      <c r="E42" s="192"/>
      <c r="F42" s="225"/>
      <c r="G42" s="226"/>
      <c r="H42" s="192"/>
      <c r="I42" s="192"/>
      <c r="J42" s="192"/>
      <c r="K42" s="192"/>
      <c r="L42" s="191"/>
      <c r="M42" s="192"/>
      <c r="N42" s="162"/>
      <c r="O42" s="162"/>
      <c r="P42" s="159"/>
      <c r="Q42" s="159"/>
      <c r="R42" s="159"/>
      <c r="S42" s="159"/>
      <c r="T42" s="159"/>
      <c r="U42" s="159"/>
      <c r="V42" s="159"/>
      <c r="W42" s="160" t="str">
        <f>IFERROR(IF(AND(P41="Probabilidad",P42="Probabilidad"),(W41-(+W41*S42)),IF(P42="Probabilidad",(I41-(+I41*S42)),IF(P42="Impacto",W41,""))),"")</f>
        <v/>
      </c>
      <c r="X42" s="193"/>
      <c r="Y42" s="193"/>
      <c r="Z42" s="192"/>
      <c r="AA42" s="160" t="str">
        <f t="shared" ref="AA42:AA45" si="44">IFERROR(IF(AND(P41="Impacto",S42="Impacto"),(AA41-(+AA41*S42)),IF(P42="Impacto",(L41-(+L41*S42)),IF(P42="Probabilidad",AA41,""))),"")</f>
        <v/>
      </c>
      <c r="AB42" s="193"/>
      <c r="AC42" s="197"/>
      <c r="AD42" s="192"/>
      <c r="AE42" s="192"/>
      <c r="AF42" s="192"/>
      <c r="AG42" s="161"/>
      <c r="AH42" s="161"/>
      <c r="AI42" s="163"/>
      <c r="AJ42" s="161"/>
      <c r="AK42" s="161"/>
      <c r="AL42" s="161"/>
      <c r="AM42" s="216"/>
      <c r="AN42" s="216"/>
      <c r="FJ42" s="165"/>
    </row>
    <row r="43" spans="1:180" s="164" customFormat="1" ht="13.5" customHeight="1" x14ac:dyDescent="0.25">
      <c r="A43" s="212"/>
      <c r="B43" s="213"/>
      <c r="C43" s="395"/>
      <c r="D43" s="224"/>
      <c r="E43" s="192"/>
      <c r="F43" s="225"/>
      <c r="G43" s="226"/>
      <c r="H43" s="192"/>
      <c r="I43" s="192"/>
      <c r="J43" s="192"/>
      <c r="K43" s="192"/>
      <c r="L43" s="191"/>
      <c r="M43" s="192"/>
      <c r="N43" s="162"/>
      <c r="O43" s="162"/>
      <c r="P43" s="159"/>
      <c r="Q43" s="159"/>
      <c r="R43" s="159"/>
      <c r="S43" s="159"/>
      <c r="T43" s="159"/>
      <c r="U43" s="159"/>
      <c r="V43" s="159"/>
      <c r="W43" s="160" t="str">
        <f>IFERROR(IF(AND(P42="Probabilidad",P43="Probabilidad"),(W42-(+W42*S43)),IF(P43="Probabilidad",(I42-(+I42*S43)),IF(P43="Impacto",W42,""))),"")</f>
        <v/>
      </c>
      <c r="X43" s="193"/>
      <c r="Y43" s="193"/>
      <c r="Z43" s="192"/>
      <c r="AA43" s="160" t="str">
        <f t="shared" si="44"/>
        <v/>
      </c>
      <c r="AB43" s="193"/>
      <c r="AC43" s="197"/>
      <c r="AD43" s="192"/>
      <c r="AE43" s="192"/>
      <c r="AF43" s="192"/>
      <c r="AG43" s="161"/>
      <c r="AH43" s="161"/>
      <c r="AI43" s="163"/>
      <c r="AJ43" s="161"/>
      <c r="AK43" s="161"/>
      <c r="AL43" s="161"/>
      <c r="AM43" s="216"/>
      <c r="AN43" s="216"/>
      <c r="FJ43" s="165"/>
    </row>
    <row r="44" spans="1:180" s="164" customFormat="1" ht="13.5" customHeight="1" x14ac:dyDescent="0.25">
      <c r="A44" s="212"/>
      <c r="B44" s="213"/>
      <c r="C44" s="395"/>
      <c r="D44" s="224"/>
      <c r="E44" s="192"/>
      <c r="F44" s="225"/>
      <c r="G44" s="226"/>
      <c r="H44" s="192"/>
      <c r="I44" s="192"/>
      <c r="J44" s="192"/>
      <c r="K44" s="192"/>
      <c r="L44" s="191"/>
      <c r="M44" s="192"/>
      <c r="N44" s="162"/>
      <c r="O44" s="162"/>
      <c r="P44" s="159"/>
      <c r="Q44" s="159"/>
      <c r="R44" s="159"/>
      <c r="S44" s="159"/>
      <c r="T44" s="159"/>
      <c r="U44" s="159"/>
      <c r="V44" s="159"/>
      <c r="W44" s="160" t="str">
        <f>IFERROR(IF(AND(P43="Probabilidad",P44="Probabilidad"),(W43-(+W43*S44)),IF(P44="Probabilidad",(I43-(+I43*S44)),IF(P44="Impacto",W43,""))),"")</f>
        <v/>
      </c>
      <c r="X44" s="193"/>
      <c r="Y44" s="193"/>
      <c r="Z44" s="192"/>
      <c r="AA44" s="160" t="str">
        <f t="shared" si="44"/>
        <v/>
      </c>
      <c r="AB44" s="193"/>
      <c r="AC44" s="197"/>
      <c r="AD44" s="192"/>
      <c r="AE44" s="192"/>
      <c r="AF44" s="192"/>
      <c r="AG44" s="161"/>
      <c r="AH44" s="161"/>
      <c r="AI44" s="163"/>
      <c r="AJ44" s="161"/>
      <c r="AK44" s="161"/>
      <c r="AL44" s="161"/>
      <c r="AM44" s="216"/>
      <c r="AN44" s="216"/>
      <c r="FJ44" s="165"/>
    </row>
    <row r="45" spans="1:180" s="164" customFormat="1" ht="13.5" customHeight="1" x14ac:dyDescent="0.25">
      <c r="A45" s="212"/>
      <c r="B45" s="213"/>
      <c r="C45" s="395"/>
      <c r="D45" s="224"/>
      <c r="E45" s="192"/>
      <c r="F45" s="225"/>
      <c r="G45" s="226"/>
      <c r="H45" s="192"/>
      <c r="I45" s="192"/>
      <c r="J45" s="192"/>
      <c r="K45" s="192"/>
      <c r="L45" s="191"/>
      <c r="M45" s="192"/>
      <c r="N45" s="162"/>
      <c r="O45" s="162"/>
      <c r="P45" s="159"/>
      <c r="Q45" s="159"/>
      <c r="R45" s="159"/>
      <c r="S45" s="159"/>
      <c r="T45" s="159"/>
      <c r="U45" s="159"/>
      <c r="V45" s="159"/>
      <c r="W45" s="160" t="str">
        <f>IFERROR(IF(AND(P44="Probabilidad",P45="Probabilidad"),(W44-(+W44*S45)),IF(P45="Probabilidad",(I44-(+I44*S45)),IF(P45="Impacto",W44,""))),"")</f>
        <v/>
      </c>
      <c r="X45" s="193"/>
      <c r="Y45" s="193"/>
      <c r="Z45" s="192"/>
      <c r="AA45" s="160" t="str">
        <f t="shared" si="44"/>
        <v/>
      </c>
      <c r="AB45" s="193"/>
      <c r="AC45" s="198"/>
      <c r="AD45" s="192"/>
      <c r="AE45" s="192"/>
      <c r="AF45" s="192"/>
      <c r="AG45" s="161"/>
      <c r="AH45" s="161"/>
      <c r="AI45" s="163"/>
      <c r="AJ45" s="161"/>
      <c r="AK45" s="161"/>
      <c r="AL45" s="161"/>
      <c r="AM45" s="216"/>
      <c r="AN45" s="216"/>
      <c r="FJ45" s="165"/>
      <c r="FN45" s="169"/>
    </row>
    <row r="46" spans="1:180" s="78" customFormat="1" ht="19.5" customHeight="1" x14ac:dyDescent="0.25">
      <c r="A46" s="212">
        <v>33</v>
      </c>
      <c r="B46" s="221" t="str">
        <f>[5]Matriz_riesgo_gesti_seguridad!$C$4</f>
        <v>Educación y Seguridad vial</v>
      </c>
      <c r="C46" s="195" t="s">
        <v>738</v>
      </c>
      <c r="D46" s="388" t="s">
        <v>149</v>
      </c>
      <c r="E46" s="216" t="s">
        <v>150</v>
      </c>
      <c r="F46" s="335" t="s">
        <v>151</v>
      </c>
      <c r="G46" s="387">
        <v>1920</v>
      </c>
      <c r="H46" s="216" t="str">
        <f>IF(AND(G46&lt;=2),"Muy Baja",IF(AND(G46&gt;=3,G46&lt;=23),"Baja",IF(AND(G46&gt;=24,G46&lt;=499),"Media",IF(AND(G46&gt;=500,G46&lt;=4999),"Alta",IF(AND(G46&gt;=5000),"Muy Alta",FALSE)))))</f>
        <v>Alta</v>
      </c>
      <c r="I46" s="216" t="str">
        <f>IF(AND(G46&lt;=2),"20%",IF(AND(G46&gt;=3,G46&lt;=23),"40%",IF(AND(G46&gt;=24,G46&lt;=499),"60%",IF(AND(G46&gt;=500,G46&lt;=4999),"80%",IF(AND(G46&gt;=5000),"100%",FALSE)))))</f>
        <v>80%</v>
      </c>
      <c r="J46" s="221" t="s">
        <v>162</v>
      </c>
      <c r="K46" s="216" t="str">
        <f>IF(AND(J46=[5]Matriz_riesgo_gesti_seguridad!$FV$4),"Leve",IF(AND(J46=[5]Matriz_riesgo_gesti_seguridad!$FV$5),"Menor",IF(AND(J46=[5]Matriz_riesgo_gesti_seguridad!$FV$6),"Moderado",IF(AND(J46=[5]Matriz_riesgo_gesti_seguridad!$FV$7),"mayor",IF(AND(J46=[5]Matriz_riesgo_gesti_seguridad!$FV$8),"Catastrófico",IF(AND(J46=[5]Matriz_riesgo_gesti_seguridad!$FV$10),"Leve",IF(AND(J46=[5]Matriz_riesgo_gesti_seguridad!$FV$11),"Menor",IF(AND(J46=[5]Matriz_riesgo_gesti_seguridad!$FV$12),"Moderado",IF(AND(J46=[5]Matriz_riesgo_gesti_seguridad!$FV$13),"Mayor",IF(AND(J46=[5]Matriz_riesgo_gesti_seguridad!$FV$14),"Catastrófico",FALSE))))))))))</f>
        <v>Moderado</v>
      </c>
      <c r="L46" s="215" t="str">
        <f>IF(AND(K46="Leve"),"20%",IF(AND(K46="Menor"),"40%",IF(AND(K46="Moderado"),"60%",IF(AND(K46="Mayor"),"80%",IF(AND(K46="Catastrófico"),"100%","")))))</f>
        <v>60%</v>
      </c>
      <c r="M46" s="216" t="str">
        <f>INDEX('[5]MATRIZ RIESGO'!$D$6:$H$10,MATCH(H46,'[5]MATRIZ RIESGO'!$C$6:$C$10,),MATCH(K46,'[5]MATRIZ RIESGO'!$D$5:$H$5,))</f>
        <v>Alto</v>
      </c>
      <c r="N46" s="386">
        <v>1</v>
      </c>
      <c r="O46" s="389" t="s">
        <v>456</v>
      </c>
      <c r="P46" s="183" t="s">
        <v>237</v>
      </c>
      <c r="Q46" s="183" t="s">
        <v>152</v>
      </c>
      <c r="R46" s="183" t="s">
        <v>153</v>
      </c>
      <c r="S46" s="172" t="str">
        <f>IF(AND(Q46=[5]Matriz_riesgo_gesti_seguridad!$FX$2,R46=[5]Matriz_riesgo_gesti_seguridad!$FY$2),"50%",IF(AND(Q46=[5]Matriz_riesgo_gesti_seguridad!$FX$2,R46=[5]Matriz_riesgo_gesti_seguridad!$FY$3),"40%",IF(AND(Q46=[5]Matriz_riesgo_gesti_seguridad!$FX$3,R46=[5]Matriz_riesgo_gesti_seguridad!$FY$2),"40%",IF(AND(Q46=[5]Matriz_riesgo_gesti_seguridad!$FX$3,R46=[5]Matriz_riesgo_gesti_seguridad!$FY$3),"30%",IF(AND(Q46=[5]Matriz_riesgo_gesti_seguridad!$FX$4,R46=[5]Matriz_riesgo_gesti_seguridad!$FY$2),"35%",IF(AND(Q46=[5]Matriz_riesgo_gesti_seguridad!$FX$4,R46=[5]Matriz_riesgo_gesti_seguridad!$FY$3),"25%",""))))))</f>
        <v>40%</v>
      </c>
      <c r="T46" s="183" t="s">
        <v>154</v>
      </c>
      <c r="U46" s="183" t="s">
        <v>155</v>
      </c>
      <c r="V46" s="183" t="s">
        <v>156</v>
      </c>
      <c r="W46" s="182">
        <f>IFERROR(IF(P46="Probabilidad",(I46-(+I46*S46)),IF(P46="Impacto",I46,"")),"")</f>
        <v>0.48</v>
      </c>
      <c r="X46" s="217">
        <f>LOOKUP(2,1/(W46:W51&lt;&gt;""),W46:W51)</f>
        <v>0.17279999999999998</v>
      </c>
      <c r="Y46" s="217">
        <f>X46*1</f>
        <v>0.17279999999999998</v>
      </c>
      <c r="Z46" s="216" t="str">
        <f>IF(AND(Y46&lt;=20%),"Muy Baja",IF(AND(Y46&gt;=21%,Y46&lt;=40%),"Baja",IF(AND(Y46&gt;=41%,Y46&lt;=60%),"Media",IF(AND(Y46&gt;=61%,Y46&lt;=80%),"Alta",IF(AND(Y46&gt;=81%,Y46&gt;=100%),"Muy Alta",FALSE)))))</f>
        <v>Muy Baja</v>
      </c>
      <c r="AA46" s="182" t="str">
        <f>IFERROR(IF(P46="Impacto",(L46-(+L46*S46)),IF(P46="Probabilidad",L46,"")),"")</f>
        <v>60%</v>
      </c>
      <c r="AB46" s="217" t="str">
        <f>LOOKUP(2,1/(AA46:AA51&lt;&gt;""),AA46:AA51)</f>
        <v>60%</v>
      </c>
      <c r="AC46" s="218">
        <f>AB46*1</f>
        <v>0.6</v>
      </c>
      <c r="AD46" s="216" t="str">
        <f>CHOOSE((AC46&gt;=0%)+(AC46&gt;=21%)+(AC46&gt;=41%)+(AC46&gt;=61%)+(AC46&gt;=81%),"Leve","Menor","Moderado","Mayor","Catastrófico")</f>
        <v>Moderado</v>
      </c>
      <c r="AE46" s="216" t="str">
        <f>INDEX('[5]MATRIZ RIESGO'!$D$6:$H$10,MATCH(Z46,'[5]MATRIZ RIESGO'!$C$6:$C$10,),MATCH(AD46,'[5]MATRIZ RIESGO'!$D$5:$H$5,))</f>
        <v>Moderado</v>
      </c>
      <c r="AF46" s="216" t="s">
        <v>111</v>
      </c>
      <c r="AG46" s="183"/>
      <c r="AH46" s="383"/>
      <c r="AI46" s="384"/>
      <c r="AJ46" s="383"/>
      <c r="AK46" s="383"/>
      <c r="AL46" s="183"/>
      <c r="AM46" s="221"/>
      <c r="AN46" s="221"/>
      <c r="FJ46" s="89"/>
      <c r="FN46" s="80"/>
    </row>
    <row r="47" spans="1:180" s="78" customFormat="1" ht="19.5" customHeight="1" x14ac:dyDescent="0.25">
      <c r="A47" s="212"/>
      <c r="B47" s="221"/>
      <c r="C47" s="195"/>
      <c r="D47" s="388"/>
      <c r="E47" s="216"/>
      <c r="F47" s="335"/>
      <c r="G47" s="387"/>
      <c r="H47" s="216"/>
      <c r="I47" s="216"/>
      <c r="J47" s="221"/>
      <c r="K47" s="216"/>
      <c r="L47" s="215"/>
      <c r="M47" s="216"/>
      <c r="N47" s="386">
        <v>2</v>
      </c>
      <c r="O47" s="385" t="s">
        <v>458</v>
      </c>
      <c r="P47" s="183" t="s">
        <v>237</v>
      </c>
      <c r="Q47" s="183" t="s">
        <v>152</v>
      </c>
      <c r="R47" s="183" t="s">
        <v>153</v>
      </c>
      <c r="S47" s="172" t="str">
        <f>IF(AND(Q47=[5]Matriz_riesgo_gesti_seguridad!$FX$2,R47=[5]Matriz_riesgo_gesti_seguridad!$FY$2),"50%",IF(AND(Q47=[5]Matriz_riesgo_gesti_seguridad!$FX$2,R47=[5]Matriz_riesgo_gesti_seguridad!$FY$3),"40%",IF(AND(Q47=[5]Matriz_riesgo_gesti_seguridad!$FX$3,R47=[5]Matriz_riesgo_gesti_seguridad!$FY$2),"40%",IF(AND(Q47=[5]Matriz_riesgo_gesti_seguridad!$FX$3,R47=[5]Matriz_riesgo_gesti_seguridad!$FY$3),"30%",IF(AND(Q47=[5]Matriz_riesgo_gesti_seguridad!$FX$4,R47=[5]Matriz_riesgo_gesti_seguridad!$FY$2),"35%",IF(AND(Q47=[5]Matriz_riesgo_gesti_seguridad!$FX$4,R47=[5]Matriz_riesgo_gesti_seguridad!$FY$3),"25%",""))))))</f>
        <v>40%</v>
      </c>
      <c r="T47" s="183" t="s">
        <v>154</v>
      </c>
      <c r="U47" s="183" t="s">
        <v>155</v>
      </c>
      <c r="V47" s="183" t="s">
        <v>156</v>
      </c>
      <c r="W47" s="182">
        <f>IFERROR(IF(AND(P46="Probabilidad",P47="Probabilidad"),(W46-(+W46*S47)),IF(P47="Probabilidad",(I46-(+I46*S47)),IF(P47="Impacto",W46,""))),"")</f>
        <v>0.28799999999999998</v>
      </c>
      <c r="X47" s="217"/>
      <c r="Y47" s="217"/>
      <c r="Z47" s="216"/>
      <c r="AA47" s="182" t="str">
        <f>IFERROR(IF(AND(P46="Impacto",S47="Impacto"),(AA46-(+AA46*S47)),IF(P47="Impacto",(L46-(+L46*S47)),IF(P47="Probabilidad",AA46,""))),"")</f>
        <v>60%</v>
      </c>
      <c r="AB47" s="217"/>
      <c r="AC47" s="219"/>
      <c r="AD47" s="216"/>
      <c r="AE47" s="216"/>
      <c r="AF47" s="216"/>
      <c r="AG47" s="183"/>
      <c r="AH47" s="383"/>
      <c r="AI47" s="384"/>
      <c r="AJ47" s="383"/>
      <c r="AK47" s="383"/>
      <c r="AL47" s="183"/>
      <c r="AM47" s="221"/>
      <c r="AN47" s="221"/>
      <c r="FJ47" s="89"/>
    </row>
    <row r="48" spans="1:180" s="78" customFormat="1" ht="19.5" customHeight="1" x14ac:dyDescent="0.25">
      <c r="A48" s="212"/>
      <c r="B48" s="221"/>
      <c r="C48" s="195"/>
      <c r="D48" s="388"/>
      <c r="E48" s="216"/>
      <c r="F48" s="335"/>
      <c r="G48" s="387"/>
      <c r="H48" s="216"/>
      <c r="I48" s="216"/>
      <c r="J48" s="221"/>
      <c r="K48" s="216"/>
      <c r="L48" s="215"/>
      <c r="M48" s="216"/>
      <c r="N48" s="386">
        <v>3</v>
      </c>
      <c r="O48" s="385" t="s">
        <v>460</v>
      </c>
      <c r="P48" s="183" t="s">
        <v>237</v>
      </c>
      <c r="Q48" s="183" t="s">
        <v>152</v>
      </c>
      <c r="R48" s="183" t="s">
        <v>153</v>
      </c>
      <c r="S48" s="172" t="str">
        <f>IF(AND(Q48=[5]Matriz_riesgo_gesti_seguridad!$FX$2,R48=[5]Matriz_riesgo_gesti_seguridad!$FY$2),"50%",IF(AND(Q48=[5]Matriz_riesgo_gesti_seguridad!$FX$2,R48=[5]Matriz_riesgo_gesti_seguridad!$FY$3),"40%",IF(AND(Q48=[5]Matriz_riesgo_gesti_seguridad!$FX$3,R48=[5]Matriz_riesgo_gesti_seguridad!$FY$2),"40%",IF(AND(Q48=[5]Matriz_riesgo_gesti_seguridad!$FX$3,R48=[5]Matriz_riesgo_gesti_seguridad!$FY$3),"30%",IF(AND(Q48=[5]Matriz_riesgo_gesti_seguridad!$FX$4,R48=[5]Matriz_riesgo_gesti_seguridad!$FY$2),"35%",IF(AND(Q48=[5]Matriz_riesgo_gesti_seguridad!$FX$4,R48=[5]Matriz_riesgo_gesti_seguridad!$FY$3),"25%",""))))))</f>
        <v>40%</v>
      </c>
      <c r="T48" s="183" t="s">
        <v>154</v>
      </c>
      <c r="U48" s="183" t="s">
        <v>155</v>
      </c>
      <c r="V48" s="183" t="s">
        <v>156</v>
      </c>
      <c r="W48" s="182">
        <f>IFERROR(IF(AND(P47="Probabilidad",P48="Probabilidad"),(W47-(+W47*S48)),IF(P48="Probabilidad",(I47-(+I47*S48)),IF(P48="Impacto",W47,""))),"")</f>
        <v>0.17279999999999998</v>
      </c>
      <c r="X48" s="217"/>
      <c r="Y48" s="217"/>
      <c r="Z48" s="216"/>
      <c r="AA48" s="182" t="str">
        <f>IFERROR(IF(AND(P47="Impacto",S48="Impacto"),(AA47-(+AA47*S48)),IF(P48="Impacto",(L47-(+L47*S48)),IF(P48="Probabilidad",AA47,""))),"")</f>
        <v>60%</v>
      </c>
      <c r="AB48" s="217"/>
      <c r="AC48" s="219"/>
      <c r="AD48" s="216"/>
      <c r="AE48" s="216"/>
      <c r="AF48" s="216"/>
      <c r="AG48" s="183"/>
      <c r="AH48" s="383"/>
      <c r="AI48" s="384"/>
      <c r="AJ48" s="383"/>
      <c r="AK48" s="383"/>
      <c r="AL48" s="183"/>
      <c r="AM48" s="221"/>
      <c r="AN48" s="221"/>
      <c r="FJ48" s="89"/>
    </row>
    <row r="49" spans="1:178" s="78" customFormat="1" ht="19.5" customHeight="1" x14ac:dyDescent="0.25">
      <c r="A49" s="212"/>
      <c r="B49" s="221"/>
      <c r="C49" s="195"/>
      <c r="D49" s="388"/>
      <c r="E49" s="216"/>
      <c r="F49" s="335"/>
      <c r="G49" s="387"/>
      <c r="H49" s="216"/>
      <c r="I49" s="216"/>
      <c r="J49" s="221"/>
      <c r="K49" s="216"/>
      <c r="L49" s="215"/>
      <c r="M49" s="216"/>
      <c r="N49" s="386"/>
      <c r="O49" s="385"/>
      <c r="P49" s="183"/>
      <c r="Q49" s="183"/>
      <c r="R49" s="183"/>
      <c r="S49" s="172" t="str">
        <f>IF(AND(Q49=[5]Matriz_riesgo_gesti_seguridad!$FX$2,R49=[5]Matriz_riesgo_gesti_seguridad!$FY$2),"50%",IF(AND(Q49=[5]Matriz_riesgo_gesti_seguridad!$FX$2,R49=[5]Matriz_riesgo_gesti_seguridad!$FY$3),"40%",IF(AND(Q49=[5]Matriz_riesgo_gesti_seguridad!$FX$3,R49=[5]Matriz_riesgo_gesti_seguridad!$FY$2),"40%",IF(AND(Q49=[5]Matriz_riesgo_gesti_seguridad!$FX$3,R49=[5]Matriz_riesgo_gesti_seguridad!$FY$3),"30%",IF(AND(Q49=[5]Matriz_riesgo_gesti_seguridad!$FX$4,R49=[5]Matriz_riesgo_gesti_seguridad!$FY$2),"35%",IF(AND(Q49=[5]Matriz_riesgo_gesti_seguridad!$FX$4,R49=[5]Matriz_riesgo_gesti_seguridad!$FY$3),"25%",""))))))</f>
        <v/>
      </c>
      <c r="T49" s="183"/>
      <c r="U49" s="183"/>
      <c r="V49" s="183"/>
      <c r="W49" s="182" t="str">
        <f>IFERROR(IF(AND(P48="Probabilidad",P49="Probabilidad"),(W48-(+W48*S49)),IF(P49="Probabilidad",(I48-(+I48*S49)),IF(P49="Impacto",W48,""))),"")</f>
        <v/>
      </c>
      <c r="X49" s="217"/>
      <c r="Y49" s="217"/>
      <c r="Z49" s="216"/>
      <c r="AA49" s="182" t="str">
        <f>IFERROR(IF(AND(P48="Impacto",S49="Impacto"),(AA48-(+AA48*S49)),IF(P49="Impacto",(L48-(+L48*S49)),IF(P49="Probabilidad",AA48,""))),"")</f>
        <v/>
      </c>
      <c r="AB49" s="217"/>
      <c r="AC49" s="219"/>
      <c r="AD49" s="216"/>
      <c r="AE49" s="216"/>
      <c r="AF49" s="216"/>
      <c r="AG49" s="183"/>
      <c r="AH49" s="383"/>
      <c r="AI49" s="384"/>
      <c r="AJ49" s="383"/>
      <c r="AK49" s="383"/>
      <c r="AL49" s="183"/>
      <c r="AM49" s="221"/>
      <c r="AN49" s="221"/>
      <c r="FJ49" s="89"/>
    </row>
    <row r="50" spans="1:178" s="78" customFormat="1" ht="19.5" customHeight="1" x14ac:dyDescent="0.25">
      <c r="A50" s="212"/>
      <c r="B50" s="221"/>
      <c r="C50" s="195"/>
      <c r="D50" s="388"/>
      <c r="E50" s="216"/>
      <c r="F50" s="335"/>
      <c r="G50" s="387"/>
      <c r="H50" s="216"/>
      <c r="I50" s="216"/>
      <c r="J50" s="221"/>
      <c r="K50" s="216"/>
      <c r="L50" s="215"/>
      <c r="M50" s="216"/>
      <c r="N50" s="386"/>
      <c r="O50" s="385"/>
      <c r="P50" s="183"/>
      <c r="Q50" s="183"/>
      <c r="R50" s="183"/>
      <c r="S50" s="172" t="str">
        <f>IF(AND(Q50=[5]Matriz_riesgo_gesti_seguridad!$FX$2,R50=[5]Matriz_riesgo_gesti_seguridad!$FY$2),"50%",IF(AND(Q50=[5]Matriz_riesgo_gesti_seguridad!$FX$2,R50=[5]Matriz_riesgo_gesti_seguridad!$FY$3),"40%",IF(AND(Q50=[5]Matriz_riesgo_gesti_seguridad!$FX$3,R50=[5]Matriz_riesgo_gesti_seguridad!$FY$2),"40%",IF(AND(Q50=[5]Matriz_riesgo_gesti_seguridad!$FX$3,R50=[5]Matriz_riesgo_gesti_seguridad!$FY$3),"30%",IF(AND(Q50=[5]Matriz_riesgo_gesti_seguridad!$FX$4,R50=[5]Matriz_riesgo_gesti_seguridad!$FY$2),"35%",IF(AND(Q50=[5]Matriz_riesgo_gesti_seguridad!$FX$4,R50=[5]Matriz_riesgo_gesti_seguridad!$FY$3),"25%",""))))))</f>
        <v/>
      </c>
      <c r="T50" s="183"/>
      <c r="U50" s="183"/>
      <c r="V50" s="183"/>
      <c r="W50" s="182" t="str">
        <f>IFERROR(IF(AND(P49="Probabilidad",P50="Probabilidad"),(W49-(+W49*S50)),IF(P50="Probabilidad",(I49-(+I49*S50)),IF(P50="Impacto",W49,""))),"")</f>
        <v/>
      </c>
      <c r="X50" s="217"/>
      <c r="Y50" s="217"/>
      <c r="Z50" s="216"/>
      <c r="AA50" s="182" t="str">
        <f>IFERROR(IF(AND(P49="Impacto",S50="Impacto"),(AA49-(+AA49*S50)),IF(P50="Impacto",(L49-(+L49*S50)),IF(P50="Probabilidad",AA49,""))),"")</f>
        <v/>
      </c>
      <c r="AB50" s="217"/>
      <c r="AC50" s="219"/>
      <c r="AD50" s="216"/>
      <c r="AE50" s="216"/>
      <c r="AF50" s="216"/>
      <c r="AG50" s="183"/>
      <c r="AH50" s="383"/>
      <c r="AI50" s="384"/>
      <c r="AJ50" s="383"/>
      <c r="AK50" s="383"/>
      <c r="AL50" s="183"/>
      <c r="AM50" s="221"/>
      <c r="AN50" s="221"/>
      <c r="FJ50" s="89"/>
    </row>
    <row r="51" spans="1:178" s="78" customFormat="1" ht="19.5" customHeight="1" x14ac:dyDescent="0.25">
      <c r="A51" s="212"/>
      <c r="B51" s="221"/>
      <c r="C51" s="195"/>
      <c r="D51" s="388"/>
      <c r="E51" s="216"/>
      <c r="F51" s="335"/>
      <c r="G51" s="387"/>
      <c r="H51" s="216"/>
      <c r="I51" s="216"/>
      <c r="J51" s="221"/>
      <c r="K51" s="216"/>
      <c r="L51" s="215"/>
      <c r="M51" s="216"/>
      <c r="N51" s="386"/>
      <c r="O51" s="385"/>
      <c r="P51" s="183"/>
      <c r="Q51" s="183"/>
      <c r="R51" s="183"/>
      <c r="S51" s="172" t="str">
        <f>IF(AND(Q51=[5]Matriz_riesgo_gesti_seguridad!$FX$2,R51=[5]Matriz_riesgo_gesti_seguridad!$FY$2),"50%",IF(AND(Q51=[5]Matriz_riesgo_gesti_seguridad!$FX$2,R51=[5]Matriz_riesgo_gesti_seguridad!$FY$3),"40%",IF(AND(Q51=[5]Matriz_riesgo_gesti_seguridad!$FX$3,R51=[5]Matriz_riesgo_gesti_seguridad!$FY$2),"40%",IF(AND(Q51=[5]Matriz_riesgo_gesti_seguridad!$FX$3,R51=[5]Matriz_riesgo_gesti_seguridad!$FY$3),"30%",IF(AND(Q51=[5]Matriz_riesgo_gesti_seguridad!$FX$4,R51=[5]Matriz_riesgo_gesti_seguridad!$FY$2),"35%",IF(AND(Q51=[5]Matriz_riesgo_gesti_seguridad!$FX$4,R51=[5]Matriz_riesgo_gesti_seguridad!$FY$3),"25%",""))))))</f>
        <v/>
      </c>
      <c r="T51" s="183"/>
      <c r="U51" s="183"/>
      <c r="V51" s="183"/>
      <c r="W51" s="182" t="str">
        <f>IFERROR(IF(AND(P50="Probabilidad",P51="Probabilidad"),(W50-(+W50*S51)),IF(P51="Probabilidad",(I50-(+I50*S51)),IF(P51="Impacto",W50,""))),"")</f>
        <v/>
      </c>
      <c r="X51" s="217"/>
      <c r="Y51" s="217"/>
      <c r="Z51" s="216"/>
      <c r="AA51" s="182" t="str">
        <f>IFERROR(IF(AND(P50="Impacto",S51="Impacto"),(AA50-(+AA50*S51)),IF(P51="Impacto",(L50-(+L50*S51)),IF(P51="Probabilidad",AA50,""))),"")</f>
        <v/>
      </c>
      <c r="AB51" s="217"/>
      <c r="AC51" s="220"/>
      <c r="AD51" s="216"/>
      <c r="AE51" s="216"/>
      <c r="AF51" s="216"/>
      <c r="AG51" s="183"/>
      <c r="AH51" s="383"/>
      <c r="AI51" s="384"/>
      <c r="AJ51" s="383"/>
      <c r="AK51" s="383"/>
      <c r="AL51" s="183"/>
      <c r="AM51" s="221"/>
      <c r="AN51" s="221"/>
      <c r="FJ51" s="89"/>
      <c r="FN51" s="79"/>
    </row>
    <row r="52" spans="1:178" s="189" customFormat="1" ht="19.5" customHeight="1" x14ac:dyDescent="0.25">
      <c r="A52" s="212">
        <v>10</v>
      </c>
      <c r="B52" s="391" t="s">
        <v>88</v>
      </c>
      <c r="C52" s="225" t="s">
        <v>286</v>
      </c>
      <c r="D52" s="224" t="s">
        <v>149</v>
      </c>
      <c r="E52" s="192" t="s">
        <v>150</v>
      </c>
      <c r="F52" s="225" t="s">
        <v>151</v>
      </c>
      <c r="G52" s="225">
        <v>12</v>
      </c>
      <c r="H52" s="192" t="str">
        <f>IF(AND(G52&lt;=2),"Muy Baja",IF(AND(G52&gt;=3,G52&lt;=23),"Baja",IF(AND(G52&gt;=24,G52&lt;=499),"Media",IF(AND(G52&gt;=500,G52&lt;=4999),"Alta",IF(AND(G52&gt;=5000),"Muy Alta",FALSE)))))</f>
        <v>Baja</v>
      </c>
      <c r="I52" s="192" t="str">
        <f>IF(AND(G52&lt;=2),"20%",IF(AND(G52&gt;=3,G52&lt;=23),"40%",IF(AND(G52&gt;=24,G52&lt;=499),"60%",IF(AND(G52&gt;=500,G52&lt;=4999),"80%",IF(AND(G52&gt;=5000),"100%",FALSE)))))</f>
        <v>40%</v>
      </c>
      <c r="J52" s="192" t="s">
        <v>163</v>
      </c>
      <c r="K52" s="192" t="str">
        <f>IF(AND(J52=[2]Matriz_riesgo_gesti_seguridad!$FV$4),"Leve",IF(AND(J52=[2]Matriz_riesgo_gesti_seguridad!$FV$5),"Menor",IF(AND(J52=[2]Matriz_riesgo_gesti_seguridad!$FV$6),"Moderado",IF(AND(J52=[2]Matriz_riesgo_gesti_seguridad!$FV$7),"mayor",IF(AND(J52=[2]Matriz_riesgo_gesti_seguridad!$FV$8),"Catastrófico",IF(AND(J52=[2]Matriz_riesgo_gesti_seguridad!$FV$10),"Leve",IF(AND(J52=[2]Matriz_riesgo_gesti_seguridad!$FV$11),"Menor",IF(AND(J52=[2]Matriz_riesgo_gesti_seguridad!$FV$12),"Moderado",IF(AND(J52=[2]Matriz_riesgo_gesti_seguridad!$FV$13),"Mayor",IF(AND(J52=[2]Matriz_riesgo_gesti_seguridad!$FV$14),"Catastrófico",FALSE))))))))))</f>
        <v>Leve</v>
      </c>
      <c r="L52" s="191" t="str">
        <f>IF(AND(K52="Leve"),"20%",IF(AND(K52="Menor"),"40%",IF(AND(K52="Moderado"),"60%",IF(AND(K52="Mayor"),"80%",IF(AND(K52="Catastrófico"),"100%","")))))</f>
        <v>20%</v>
      </c>
      <c r="M52" s="192" t="str">
        <f>INDEX('[2]MATRIZ RIESGO'!$D$6:$H$10,MATCH(H52,'[2]MATRIZ RIESGO'!$C$6:$C$10,),MATCH(K52,'[2]MATRIZ RIESGO'!$D$5:$H$5,))</f>
        <v>Bajo</v>
      </c>
      <c r="N52" s="162">
        <v>1</v>
      </c>
      <c r="O52" s="162" t="s">
        <v>287</v>
      </c>
      <c r="P52" s="171" t="s">
        <v>237</v>
      </c>
      <c r="Q52" s="171" t="s">
        <v>152</v>
      </c>
      <c r="R52" s="171" t="s">
        <v>153</v>
      </c>
      <c r="S52" s="171" t="str">
        <f>IF(AND(Q52=[2]Matriz_riesgo_gesti_seguridad!$FX$2,R52=[2]Matriz_riesgo_gesti_seguridad!$FY$2),"50%",IF(AND(Q52=[2]Matriz_riesgo_gesti_seguridad!$FX$2,R52=[2]Matriz_riesgo_gesti_seguridad!$FY$3),"40%",IF(AND(Q52=[2]Matriz_riesgo_gesti_seguridad!$FX$3,R52=[2]Matriz_riesgo_gesti_seguridad!$FY$2),"40%",IF(AND(Q52=[2]Matriz_riesgo_gesti_seguridad!$FX$3,R52=[2]Matriz_riesgo_gesti_seguridad!$FY$3),"30%",IF(AND(Q52=[2]Matriz_riesgo_gesti_seguridad!$FX$4,R52=[2]Matriz_riesgo_gesti_seguridad!$FY$2),"35%",IF(AND(Q52=[2]Matriz_riesgo_gesti_seguridad!$FX$4,R52=[2]Matriz_riesgo_gesti_seguridad!$FY$3),"25%",""))))))</f>
        <v>40%</v>
      </c>
      <c r="T52" s="171" t="s">
        <v>154</v>
      </c>
      <c r="U52" s="171" t="s">
        <v>155</v>
      </c>
      <c r="V52" s="171" t="s">
        <v>156</v>
      </c>
      <c r="W52" s="170">
        <f>IFERROR(IF(P52="Probabilidad",(I52-(+I52*S52)),IF(P52="Impacto",I52,"")),"")</f>
        <v>0.24</v>
      </c>
      <c r="X52" s="193">
        <f>LOOKUP(2,1/(W52:W57&lt;&gt;""),W52:W57)</f>
        <v>0.24</v>
      </c>
      <c r="Y52" s="193">
        <f>X52*1</f>
        <v>0.24</v>
      </c>
      <c r="Z52" s="192" t="str">
        <f>IF(AND(Y52&lt;=20%),"Muy Baja",IF(AND(Y52&gt;=21%,Y52&lt;=40%),"Baja",IF(AND(Y52&gt;=41%,Y52&lt;=60%),"Media",IF(AND(Y52&gt;=61%,Y52&lt;=80%),"Alta",IF(AND(Y52&gt;=81%,Y52&gt;=100%),"Muy Alta",FALSE)))))</f>
        <v>Baja</v>
      </c>
      <c r="AA52" s="170" t="str">
        <f>IFERROR(IF(P52="Impacto",(L52-(+L52*S52)),IF(P52="Probabilidad",L52,"")),"")</f>
        <v>20%</v>
      </c>
      <c r="AB52" s="193" t="str">
        <f>LOOKUP(2,1/(AA52:AA57&lt;&gt;""),AA52:AA57)</f>
        <v>20%</v>
      </c>
      <c r="AC52" s="196">
        <f>AB52*1</f>
        <v>0.2</v>
      </c>
      <c r="AD52" s="192" t="str">
        <f>CHOOSE((AC52&gt;=0%)+(AC52&gt;=21%)+(AC52&gt;=41%)+(AC52&gt;=61%)+(AC52&gt;=81%),"Leve","Menor","Moderado","Mayor","Catastrófico")</f>
        <v>Leve</v>
      </c>
      <c r="AE52" s="192" t="str">
        <f>INDEX('[2]MATRIZ RIESGO'!$D$6:$H$10,MATCH(Z52,'[2]MATRIZ RIESGO'!$C$6:$C$10,),MATCH(AD52,'[2]MATRIZ RIESGO'!$D$5:$H$5,))</f>
        <v>Bajo</v>
      </c>
      <c r="AF52" s="192" t="s">
        <v>77</v>
      </c>
      <c r="AG52" s="172"/>
      <c r="AH52" s="172"/>
      <c r="AI52" s="163"/>
      <c r="AJ52" s="163"/>
      <c r="AK52" s="172"/>
      <c r="AL52" s="172"/>
      <c r="AM52" s="335"/>
      <c r="AN52" s="335"/>
      <c r="FJ52" s="165"/>
      <c r="FN52" s="166"/>
    </row>
    <row r="53" spans="1:178" s="189" customFormat="1" ht="19.5" customHeight="1" x14ac:dyDescent="0.25">
      <c r="A53" s="212"/>
      <c r="B53" s="392"/>
      <c r="C53" s="225"/>
      <c r="D53" s="224"/>
      <c r="E53" s="192"/>
      <c r="F53" s="225"/>
      <c r="G53" s="225"/>
      <c r="H53" s="192"/>
      <c r="I53" s="192"/>
      <c r="J53" s="192"/>
      <c r="K53" s="192"/>
      <c r="L53" s="191"/>
      <c r="M53" s="192"/>
      <c r="N53" s="162"/>
      <c r="O53" s="162"/>
      <c r="P53" s="171"/>
      <c r="Q53" s="171"/>
      <c r="R53" s="171"/>
      <c r="S53" s="171"/>
      <c r="T53" s="171"/>
      <c r="U53" s="171"/>
      <c r="V53" s="171"/>
      <c r="W53" s="170" t="str">
        <f>IFERROR(IF(AND(P52="Probabilidad",P53="Probabilidad"),(W52-(+W52*S53)),IF(P53="Probabilidad",(I52-(+I52*S53)),IF(P53="Impacto",W52,""))),"")</f>
        <v/>
      </c>
      <c r="X53" s="193"/>
      <c r="Y53" s="193"/>
      <c r="Z53" s="192"/>
      <c r="AA53" s="170" t="str">
        <f>IFERROR(IF(AND(P52="Impacto",S53="Impacto"),(AA52-(+AA52*S53)),IF(P53="Impacto",(L52-(+L52*S53)),IF(P53="Probabilidad",AA52,""))),"")</f>
        <v/>
      </c>
      <c r="AB53" s="193"/>
      <c r="AC53" s="197"/>
      <c r="AD53" s="192"/>
      <c r="AE53" s="192"/>
      <c r="AF53" s="192"/>
      <c r="AG53" s="172"/>
      <c r="AH53" s="172"/>
      <c r="AI53" s="163"/>
      <c r="AJ53" s="163"/>
      <c r="AK53" s="172"/>
      <c r="AL53" s="172"/>
      <c r="AM53" s="335"/>
      <c r="AN53" s="335"/>
      <c r="FJ53" s="165"/>
    </row>
    <row r="54" spans="1:178" s="189" customFormat="1" ht="19.5" customHeight="1" x14ac:dyDescent="0.25">
      <c r="A54" s="212"/>
      <c r="B54" s="392"/>
      <c r="C54" s="225"/>
      <c r="D54" s="224"/>
      <c r="E54" s="192"/>
      <c r="F54" s="225"/>
      <c r="G54" s="225"/>
      <c r="H54" s="192"/>
      <c r="I54" s="192"/>
      <c r="J54" s="192"/>
      <c r="K54" s="192"/>
      <c r="L54" s="191"/>
      <c r="M54" s="192"/>
      <c r="N54" s="162"/>
      <c r="O54" s="162"/>
      <c r="P54" s="171"/>
      <c r="Q54" s="171"/>
      <c r="R54" s="171"/>
      <c r="S54" s="171"/>
      <c r="T54" s="171"/>
      <c r="U54" s="171"/>
      <c r="V54" s="171"/>
      <c r="W54" s="170" t="str">
        <f>IFERROR(IF(AND(P53="Probabilidad",P54="Probabilidad"),(W53-(+W53*S54)),IF(P54="Probabilidad",(I53-(+I53*S54)),IF(P54="Impacto",W53,""))),"")</f>
        <v/>
      </c>
      <c r="X54" s="193"/>
      <c r="Y54" s="193"/>
      <c r="Z54" s="192"/>
      <c r="AA54" s="170" t="str">
        <f>IFERROR(IF(AND(P53="Impacto",S54="Impacto"),(AA53-(+AA53*S54)),IF(P54="Impacto",(L53-(+L53*S54)),IF(P54="Probabilidad",AA53,""))),"")</f>
        <v/>
      </c>
      <c r="AB54" s="193"/>
      <c r="AC54" s="197"/>
      <c r="AD54" s="192"/>
      <c r="AE54" s="192"/>
      <c r="AF54" s="192"/>
      <c r="AG54" s="172"/>
      <c r="AH54" s="172"/>
      <c r="AI54" s="163"/>
      <c r="AJ54" s="172"/>
      <c r="AK54" s="172"/>
      <c r="AL54" s="172"/>
      <c r="AM54" s="335"/>
      <c r="AN54" s="335"/>
      <c r="FJ54" s="165"/>
    </row>
    <row r="55" spans="1:178" s="189" customFormat="1" ht="19.5" customHeight="1" x14ac:dyDescent="0.25">
      <c r="A55" s="212"/>
      <c r="B55" s="392"/>
      <c r="C55" s="225"/>
      <c r="D55" s="224"/>
      <c r="E55" s="192"/>
      <c r="F55" s="225"/>
      <c r="G55" s="225"/>
      <c r="H55" s="192"/>
      <c r="I55" s="192"/>
      <c r="J55" s="192"/>
      <c r="K55" s="192"/>
      <c r="L55" s="191"/>
      <c r="M55" s="192"/>
      <c r="N55" s="162"/>
      <c r="O55" s="162"/>
      <c r="P55" s="171"/>
      <c r="Q55" s="171"/>
      <c r="R55" s="171"/>
      <c r="S55" s="171"/>
      <c r="T55" s="171"/>
      <c r="U55" s="171"/>
      <c r="V55" s="171"/>
      <c r="W55" s="170" t="str">
        <f>IFERROR(IF(AND(P54="Probabilidad",P55="Probabilidad"),(W54-(+W54*S55)),IF(P55="Probabilidad",(I54-(+I54*S55)),IF(P55="Impacto",W54,""))),"")</f>
        <v/>
      </c>
      <c r="X55" s="193"/>
      <c r="Y55" s="193"/>
      <c r="Z55" s="192"/>
      <c r="AA55" s="170" t="str">
        <f>IFERROR(IF(AND(P54="Impacto",S55="Impacto"),(AA54-(+AA54*S55)),IF(P55="Impacto",(L54-(+L54*S55)),IF(P55="Probabilidad",AA54,""))),"")</f>
        <v/>
      </c>
      <c r="AB55" s="193"/>
      <c r="AC55" s="197"/>
      <c r="AD55" s="192"/>
      <c r="AE55" s="192"/>
      <c r="AF55" s="192"/>
      <c r="AG55" s="172"/>
      <c r="AH55" s="172"/>
      <c r="AI55" s="163"/>
      <c r="AJ55" s="172"/>
      <c r="AK55" s="172"/>
      <c r="AL55" s="172"/>
      <c r="AM55" s="335"/>
      <c r="AN55" s="335"/>
      <c r="FJ55" s="165"/>
    </row>
    <row r="56" spans="1:178" s="189" customFormat="1" ht="19.5" customHeight="1" x14ac:dyDescent="0.25">
      <c r="A56" s="212"/>
      <c r="B56" s="392"/>
      <c r="C56" s="225"/>
      <c r="D56" s="224"/>
      <c r="E56" s="192"/>
      <c r="F56" s="225"/>
      <c r="G56" s="225"/>
      <c r="H56" s="192"/>
      <c r="I56" s="192"/>
      <c r="J56" s="192"/>
      <c r="K56" s="192"/>
      <c r="L56" s="191"/>
      <c r="M56" s="192"/>
      <c r="N56" s="162"/>
      <c r="O56" s="162"/>
      <c r="P56" s="171"/>
      <c r="Q56" s="171"/>
      <c r="R56" s="171"/>
      <c r="S56" s="171" t="str">
        <f>IF(AND(Q56=[2]Matriz_riesgo_gesti_seguridad!$FX$2,R56=[2]Matriz_riesgo_gesti_seguridad!$FY$2),"50%",IF(AND(Q56=[2]Matriz_riesgo_gesti_seguridad!$FX$2,R56=[2]Matriz_riesgo_gesti_seguridad!$FY$3),"40%",IF(AND(Q56=[2]Matriz_riesgo_gesti_seguridad!$FX$3,R56=[2]Matriz_riesgo_gesti_seguridad!$FY$2),"40%",IF(AND(Q56=[2]Matriz_riesgo_gesti_seguridad!$FX$3,R56=[2]Matriz_riesgo_gesti_seguridad!$FY$3),"30%",IF(AND(Q56=[2]Matriz_riesgo_gesti_seguridad!$FX$4,R56=[2]Matriz_riesgo_gesti_seguridad!$FY$2),"35%",IF(AND(Q56=[2]Matriz_riesgo_gesti_seguridad!$FX$4,R56=[2]Matriz_riesgo_gesti_seguridad!$FY$3),"25%",""))))))</f>
        <v/>
      </c>
      <c r="T56" s="171"/>
      <c r="U56" s="171"/>
      <c r="V56" s="171"/>
      <c r="W56" s="170" t="str">
        <f>IFERROR(IF(AND(P55="Probabilidad",P56="Probabilidad"),(W55-(+W55*S56)),IF(P56="Probabilidad",(I55-(+I55*S56)),IF(P56="Impacto",W55,""))),"")</f>
        <v/>
      </c>
      <c r="X56" s="193"/>
      <c r="Y56" s="193"/>
      <c r="Z56" s="192"/>
      <c r="AA56" s="170" t="str">
        <f>IFERROR(IF(AND(P55="Impacto",S56="Impacto"),(AA55-(+AA55*S56)),IF(P56="Impacto",(L55-(+L55*S56)),IF(P56="Probabilidad",AA55,""))),"")</f>
        <v/>
      </c>
      <c r="AB56" s="193"/>
      <c r="AC56" s="197"/>
      <c r="AD56" s="192"/>
      <c r="AE56" s="192"/>
      <c r="AF56" s="192"/>
      <c r="AG56" s="172"/>
      <c r="AH56" s="172"/>
      <c r="AI56" s="163"/>
      <c r="AJ56" s="172"/>
      <c r="AK56" s="172"/>
      <c r="AL56" s="172"/>
      <c r="AM56" s="335"/>
      <c r="AN56" s="335"/>
      <c r="FJ56" s="165"/>
    </row>
    <row r="57" spans="1:178" s="189" customFormat="1" ht="19.5" customHeight="1" thickBot="1" x14ac:dyDescent="0.25">
      <c r="A57" s="212"/>
      <c r="B57" s="392"/>
      <c r="C57" s="225"/>
      <c r="D57" s="224"/>
      <c r="E57" s="192"/>
      <c r="F57" s="225"/>
      <c r="G57" s="225"/>
      <c r="H57" s="192"/>
      <c r="I57" s="192"/>
      <c r="J57" s="192"/>
      <c r="K57" s="192"/>
      <c r="L57" s="191"/>
      <c r="M57" s="192"/>
      <c r="N57" s="162"/>
      <c r="O57" s="162"/>
      <c r="P57" s="171"/>
      <c r="Q57" s="171"/>
      <c r="R57" s="171"/>
      <c r="S57" s="171" t="str">
        <f>IF(AND(Q57=[2]Matriz_riesgo_gesti_seguridad!$FX$2,R57=[2]Matriz_riesgo_gesti_seguridad!$FY$2),"50%",IF(AND(Q57=[2]Matriz_riesgo_gesti_seguridad!$FX$2,R57=[2]Matriz_riesgo_gesti_seguridad!$FY$3),"40%",IF(AND(Q57=[2]Matriz_riesgo_gesti_seguridad!$FX$3,R57=[2]Matriz_riesgo_gesti_seguridad!$FY$2),"40%",IF(AND(Q57=[2]Matriz_riesgo_gesti_seguridad!$FX$3,R57=[2]Matriz_riesgo_gesti_seguridad!$FY$3),"30%",IF(AND(Q57=[2]Matriz_riesgo_gesti_seguridad!$FX$4,R57=[2]Matriz_riesgo_gesti_seguridad!$FY$2),"35%",IF(AND(Q57=[2]Matriz_riesgo_gesti_seguridad!$FX$4,R57=[2]Matriz_riesgo_gesti_seguridad!$FY$3),"25%",""))))))</f>
        <v/>
      </c>
      <c r="T57" s="171"/>
      <c r="U57" s="171"/>
      <c r="V57" s="171"/>
      <c r="W57" s="170" t="str">
        <f>IFERROR(IF(AND(P56="Probabilidad",P57="Probabilidad"),(W56-(+W56*S57)),IF(P57="Probabilidad",(I56-(+I56*S57)),IF(P57="Impacto",W56,""))),"")</f>
        <v/>
      </c>
      <c r="X57" s="193"/>
      <c r="Y57" s="193"/>
      <c r="Z57" s="192"/>
      <c r="AA57" s="170" t="str">
        <f>IFERROR(IF(AND(P56="Impacto",S57="Impacto"),(AA56-(+AA56*S57)),IF(P57="Impacto",(L56-(+L56*S57)),IF(P57="Probabilidad",AA56,""))),"")</f>
        <v/>
      </c>
      <c r="AB57" s="193"/>
      <c r="AC57" s="198"/>
      <c r="AD57" s="192"/>
      <c r="AE57" s="192"/>
      <c r="AF57" s="192"/>
      <c r="AG57" s="172"/>
      <c r="AH57" s="172"/>
      <c r="AI57" s="163"/>
      <c r="AJ57" s="172"/>
      <c r="AK57" s="172"/>
      <c r="AL57" s="172"/>
      <c r="AM57" s="335"/>
      <c r="AN57" s="335"/>
      <c r="FJ57" s="167"/>
      <c r="FK57" s="168"/>
      <c r="FL57" s="168"/>
      <c r="FM57" s="168"/>
      <c r="FN57" s="168"/>
      <c r="FO57" s="168"/>
      <c r="FP57" s="168"/>
      <c r="FQ57" s="168"/>
      <c r="FR57" s="168"/>
      <c r="FS57" s="168"/>
      <c r="FT57" s="168"/>
      <c r="FU57" s="168"/>
      <c r="FV57" s="168"/>
    </row>
    <row r="58" spans="1:178" s="396" customFormat="1" ht="27.75" customHeight="1" x14ac:dyDescent="0.2">
      <c r="A58" s="432">
        <v>68</v>
      </c>
      <c r="B58" s="213" t="s">
        <v>633</v>
      </c>
      <c r="C58" s="190" t="s">
        <v>661</v>
      </c>
      <c r="D58" s="224" t="s">
        <v>265</v>
      </c>
      <c r="E58" s="192" t="s">
        <v>168</v>
      </c>
      <c r="F58" s="192" t="s">
        <v>662</v>
      </c>
      <c r="G58" s="192">
        <v>1920</v>
      </c>
      <c r="H58" s="192" t="str">
        <f>IF(AND(G58&lt;=2),"Muy Baja",IF(AND(G58&gt;=3,G58&lt;=23),"Baja",IF(AND(G58&gt;=24,G58&lt;=499),"Media",IF(AND(G58&gt;=500,G58&lt;=4999),"Alta",IF(AND(G58&gt;=5000),"Muy Alta",FALSE)))))</f>
        <v>Alta</v>
      </c>
      <c r="I58" s="192" t="str">
        <f>IF(AND(G58&lt;=2),"20%",IF(AND(G58&gt;=3,G58&lt;=23),"40%",IF(AND(G58&gt;=24,G58&lt;=499),"60%",IF(AND(G58&gt;=500,G58&lt;=4999),"80%",IF(AND(G58&gt;=5000),"100%",FALSE)))))</f>
        <v>80%</v>
      </c>
      <c r="J58" s="192" t="s">
        <v>162</v>
      </c>
      <c r="K58" s="192" t="str">
        <f>IF(AND(J58=[8]Matriz_riesgo_gesti_seguridad!$FV$4),"Leve",IF(AND(J58=[8]Matriz_riesgo_gesti_seguridad!$FV$5),"Menor",IF(AND(J58=[8]Matriz_riesgo_gesti_seguridad!$FV$6),"Moderado",IF(AND(J58=[8]Matriz_riesgo_gesti_seguridad!$FV$7),"mayor",IF(AND(J58=[8]Matriz_riesgo_gesti_seguridad!$FV$8),"Catastrófico",IF(AND(J58=[8]Matriz_riesgo_gesti_seguridad!$FV$10),"Leve",IF(AND(J58=[8]Matriz_riesgo_gesti_seguridad!$FV$11),"Menor",IF(AND(J58=[8]Matriz_riesgo_gesti_seguridad!$FV$12),"Moderado",IF(AND(J58=[8]Matriz_riesgo_gesti_seguridad!$FV$13),"Mayor",IF(AND(J58=[8]Matriz_riesgo_gesti_seguridad!$FV$14),"Catastrófico",FALSE))))))))))</f>
        <v>Moderado</v>
      </c>
      <c r="L58" s="191" t="str">
        <f>IF(AND(K58="Leve"),"20%",IF(AND(K58="Menor"),"40%",IF(AND(K58="Moderado"),"60%",IF(AND(K58="Mayor"),"80%",IF(AND(K58="Catastrófico"),"100%","")))))</f>
        <v>60%</v>
      </c>
      <c r="M58" s="192" t="str">
        <f>INDEX('[8]MATRIZ RIESGO'!$D$6:$H$10,MATCH(H58,'[8]MATRIZ RIESGO'!$C$6:$C$10,),MATCH(K58,'[8]MATRIZ RIESGO'!$D$5:$H$5,))</f>
        <v>Alto</v>
      </c>
      <c r="N58" s="162">
        <v>1</v>
      </c>
      <c r="O58" s="162" t="s">
        <v>663</v>
      </c>
      <c r="P58" s="171" t="s">
        <v>237</v>
      </c>
      <c r="Q58" s="171" t="s">
        <v>152</v>
      </c>
      <c r="R58" s="171" t="s">
        <v>153</v>
      </c>
      <c r="S58" s="171" t="str">
        <f>IF(AND(Q58=[8]Matriz_riesgo_gesti_seguridad!$FX$2,R58=[8]Matriz_riesgo_gesti_seguridad!$FY$2),"50%",IF(AND(Q58=[8]Matriz_riesgo_gesti_seguridad!$FX$2,R58=[8]Matriz_riesgo_gesti_seguridad!$FY$3),"40%",IF(AND(Q58=[8]Matriz_riesgo_gesti_seguridad!$FX$3,R58=[8]Matriz_riesgo_gesti_seguridad!$FY$2),"40%",IF(AND(Q58=[8]Matriz_riesgo_gesti_seguridad!$FX$3,R58=[8]Matriz_riesgo_gesti_seguridad!$FY$3),"30%",IF(AND(Q58=[8]Matriz_riesgo_gesti_seguridad!$FX$4,R58=[8]Matriz_riesgo_gesti_seguridad!$FY$2),"35%",IF(AND(Q58=[8]Matriz_riesgo_gesti_seguridad!$FX$4,R58=[8]Matriz_riesgo_gesti_seguridad!$FY$3),"25%",""))))))</f>
        <v>40%</v>
      </c>
      <c r="T58" s="171" t="s">
        <v>154</v>
      </c>
      <c r="U58" s="171" t="s">
        <v>155</v>
      </c>
      <c r="V58" s="171" t="s">
        <v>156</v>
      </c>
      <c r="W58" s="170">
        <f>IFERROR(IF(P58="Probabilidad",(I58-(+I58*S58)),IF(P58="Impacto",I58,"")),"")</f>
        <v>0.48</v>
      </c>
      <c r="X58" s="193">
        <f>LOOKUP(2,1/(W58:W63&lt;&gt;""),W58:W63)</f>
        <v>0.48</v>
      </c>
      <c r="Y58" s="193">
        <f>X58*1</f>
        <v>0.48</v>
      </c>
      <c r="Z58" s="192" t="str">
        <f>IF(AND(Y58&lt;=20%),"Muy Baja",IF(AND(Y58&gt;=21%,Y58&lt;=40%),"Baja",IF(AND(Y58&gt;=41%,Y58&lt;=60%),"Media",IF(AND(Y58&gt;=61%,Y58&lt;=80%),"Alta",IF(AND(Y58&gt;=81%,Y58&gt;=100%),"Muy Alta",FALSE)))))</f>
        <v>Media</v>
      </c>
      <c r="AA58" s="170" t="str">
        <f>IFERROR(IF(P58="Impacto",(L58-(+L58*S58)),IF(P58="Probabilidad",L58,"")),"")</f>
        <v>60%</v>
      </c>
      <c r="AB58" s="193" t="str">
        <f>LOOKUP(2,1/(AA58:AA63&lt;&gt;""),AA58:AA63)</f>
        <v>60%</v>
      </c>
      <c r="AC58" s="196">
        <f>AB58*1</f>
        <v>0.6</v>
      </c>
      <c r="AD58" s="192" t="str">
        <f>CHOOSE((AC58&gt;=0%)+(AC58&gt;=21%)+(AC58&gt;=41%)+(AC58&gt;=61%)+(AC58&gt;=81%),"Leve","Menor","Moderado","Mayor","Catastrófico")</f>
        <v>Moderado</v>
      </c>
      <c r="AE58" s="192" t="str">
        <f>INDEX('[8]MATRIZ RIESGO'!$D$6:$H$10,MATCH(Z58,'[8]MATRIZ RIESGO'!$C$6:$C$10,),MATCH(AD58,'[8]MATRIZ RIESGO'!$D$5:$H$5,))</f>
        <v>Moderado</v>
      </c>
      <c r="AF58" s="192" t="s">
        <v>111</v>
      </c>
      <c r="AG58" s="172"/>
      <c r="AH58" s="172"/>
      <c r="AI58" s="123"/>
      <c r="AJ58" s="172"/>
      <c r="AK58" s="172"/>
      <c r="AL58" s="172"/>
      <c r="AM58" s="427" t="s">
        <v>664</v>
      </c>
      <c r="AN58" s="425" t="s">
        <v>113</v>
      </c>
      <c r="AO58" s="431" t="s">
        <v>861</v>
      </c>
      <c r="AP58" s="430">
        <v>2</v>
      </c>
      <c r="AQ58" s="396" t="s">
        <v>855</v>
      </c>
      <c r="AR58" s="396" t="s">
        <v>860</v>
      </c>
      <c r="FO58" s="397"/>
    </row>
    <row r="59" spans="1:178" s="396" customFormat="1" ht="16.5" customHeight="1" x14ac:dyDescent="0.2">
      <c r="A59" s="433"/>
      <c r="B59" s="213"/>
      <c r="C59" s="190"/>
      <c r="D59" s="224"/>
      <c r="E59" s="192"/>
      <c r="F59" s="192"/>
      <c r="G59" s="192"/>
      <c r="H59" s="192"/>
      <c r="I59" s="192"/>
      <c r="J59" s="192"/>
      <c r="K59" s="192"/>
      <c r="L59" s="191"/>
      <c r="M59" s="192"/>
      <c r="N59" s="162"/>
      <c r="O59" s="162"/>
      <c r="P59" s="171"/>
      <c r="Q59" s="171"/>
      <c r="R59" s="171"/>
      <c r="S59" s="171" t="str">
        <f>IF(AND(Q59=[8]Matriz_riesgo_gesti_seguridad!$FX$2,R59=[8]Matriz_riesgo_gesti_seguridad!$FY$2),"50%",IF(AND(Q59=[8]Matriz_riesgo_gesti_seguridad!$FX$2,R59=[8]Matriz_riesgo_gesti_seguridad!$FY$3),"40%",IF(AND(Q59=[8]Matriz_riesgo_gesti_seguridad!$FX$3,R59=[8]Matriz_riesgo_gesti_seguridad!$FY$2),"40%",IF(AND(Q59=[8]Matriz_riesgo_gesti_seguridad!$FX$3,R59=[8]Matriz_riesgo_gesti_seguridad!$FY$3),"30%",IF(AND(Q59=[8]Matriz_riesgo_gesti_seguridad!$FX$4,R59=[8]Matriz_riesgo_gesti_seguridad!$FY$2),"35%",IF(AND(Q59=[8]Matriz_riesgo_gesti_seguridad!$FX$4,R59=[8]Matriz_riesgo_gesti_seguridad!$FY$3),"25%",""))))))</f>
        <v/>
      </c>
      <c r="T59" s="171"/>
      <c r="U59" s="171"/>
      <c r="V59" s="171"/>
      <c r="W59" s="170" t="str">
        <f>IFERROR(IF(AND(P58="Probabilidad",P59="Probabilidad"),(W58-(+W58*S59)),IF(P59="Probabilidad",(I58-(+I58*S59)),IF(P59="Impacto",W58,""))),"")</f>
        <v/>
      </c>
      <c r="X59" s="193"/>
      <c r="Y59" s="193"/>
      <c r="Z59" s="192"/>
      <c r="AA59" s="170" t="str">
        <f>IFERROR(IF(AND(P58="Impacto",S59="Impacto"),(AA58-(+AA58*S59)),IF(P59="Impacto",(L58-(+L58*S59)),IF(P59="Probabilidad",AA58,""))),"")</f>
        <v/>
      </c>
      <c r="AB59" s="193"/>
      <c r="AC59" s="197"/>
      <c r="AD59" s="192"/>
      <c r="AE59" s="192"/>
      <c r="AF59" s="192"/>
      <c r="AG59" s="172"/>
      <c r="AH59" s="172"/>
      <c r="AI59" s="123"/>
      <c r="AJ59" s="172"/>
      <c r="AK59" s="172"/>
      <c r="AL59" s="172"/>
      <c r="AM59" s="428"/>
      <c r="AN59" s="420"/>
      <c r="AO59" s="431"/>
      <c r="AP59" s="430"/>
      <c r="FO59" s="397"/>
    </row>
    <row r="60" spans="1:178" s="396" customFormat="1" ht="16.5" customHeight="1" x14ac:dyDescent="0.2">
      <c r="A60" s="433"/>
      <c r="B60" s="213"/>
      <c r="C60" s="190"/>
      <c r="D60" s="224"/>
      <c r="E60" s="192"/>
      <c r="F60" s="192"/>
      <c r="G60" s="192"/>
      <c r="H60" s="192"/>
      <c r="I60" s="192"/>
      <c r="J60" s="192"/>
      <c r="K60" s="192"/>
      <c r="L60" s="191"/>
      <c r="M60" s="192"/>
      <c r="N60" s="162"/>
      <c r="O60" s="162"/>
      <c r="P60" s="171"/>
      <c r="Q60" s="171"/>
      <c r="R60" s="171"/>
      <c r="S60" s="171" t="str">
        <f>IF(AND(Q60=[8]Matriz_riesgo_gesti_seguridad!$FX$2,R60=[8]Matriz_riesgo_gesti_seguridad!$FY$2),"50%",IF(AND(Q60=[8]Matriz_riesgo_gesti_seguridad!$FX$2,R60=[8]Matriz_riesgo_gesti_seguridad!$FY$3),"40%",IF(AND(Q60=[8]Matriz_riesgo_gesti_seguridad!$FX$3,R60=[8]Matriz_riesgo_gesti_seguridad!$FY$2),"40%",IF(AND(Q60=[8]Matriz_riesgo_gesti_seguridad!$FX$3,R60=[8]Matriz_riesgo_gesti_seguridad!$FY$3),"30%",IF(AND(Q60=[8]Matriz_riesgo_gesti_seguridad!$FX$4,R60=[8]Matriz_riesgo_gesti_seguridad!$FY$2),"35%",IF(AND(Q60=[8]Matriz_riesgo_gesti_seguridad!$FX$4,R60=[8]Matriz_riesgo_gesti_seguridad!$FY$3),"25%",""))))))</f>
        <v/>
      </c>
      <c r="T60" s="171"/>
      <c r="U60" s="171"/>
      <c r="V60" s="171"/>
      <c r="W60" s="170" t="str">
        <f>IFERROR(IF(AND(P59="Probabilidad",P60="Probabilidad"),(W59-(+W59*S60)),IF(P60="Probabilidad",(I59-(+I59*S60)),IF(P60="Impacto",W59,""))),"")</f>
        <v/>
      </c>
      <c r="X60" s="193"/>
      <c r="Y60" s="193"/>
      <c r="Z60" s="192"/>
      <c r="AA60" s="170" t="str">
        <f>IFERROR(IF(AND(P59="Impacto",S60="Impacto"),(AA59-(+AA59*S60)),IF(P60="Impacto",(L59-(+L59*S60)),IF(P60="Probabilidad",AA59,""))),"")</f>
        <v/>
      </c>
      <c r="AB60" s="193"/>
      <c r="AC60" s="197"/>
      <c r="AD60" s="192"/>
      <c r="AE60" s="192"/>
      <c r="AF60" s="192"/>
      <c r="AG60" s="172"/>
      <c r="AH60" s="172"/>
      <c r="AI60" s="163"/>
      <c r="AJ60" s="172"/>
      <c r="AK60" s="172"/>
      <c r="AL60" s="172"/>
      <c r="AM60" s="428"/>
      <c r="AN60" s="420"/>
      <c r="AO60" s="431"/>
      <c r="AP60" s="430"/>
      <c r="FO60" s="397"/>
    </row>
    <row r="61" spans="1:178" s="396" customFormat="1" ht="16.5" customHeight="1" x14ac:dyDescent="0.2">
      <c r="A61" s="433"/>
      <c r="B61" s="213"/>
      <c r="C61" s="190"/>
      <c r="D61" s="224"/>
      <c r="E61" s="192"/>
      <c r="F61" s="192"/>
      <c r="G61" s="192"/>
      <c r="H61" s="192"/>
      <c r="I61" s="192"/>
      <c r="J61" s="192"/>
      <c r="K61" s="192"/>
      <c r="L61" s="191"/>
      <c r="M61" s="192"/>
      <c r="N61" s="162"/>
      <c r="O61" s="162"/>
      <c r="P61" s="171"/>
      <c r="Q61" s="171"/>
      <c r="R61" s="171"/>
      <c r="S61" s="171" t="str">
        <f>IF(AND(Q61=[8]Matriz_riesgo_gesti_seguridad!$FX$2,R61=[8]Matriz_riesgo_gesti_seguridad!$FY$2),"50%",IF(AND(Q61=[8]Matriz_riesgo_gesti_seguridad!$FX$2,R61=[8]Matriz_riesgo_gesti_seguridad!$FY$3),"40%",IF(AND(Q61=[8]Matriz_riesgo_gesti_seguridad!$FX$3,R61=[8]Matriz_riesgo_gesti_seguridad!$FY$2),"40%",IF(AND(Q61=[8]Matriz_riesgo_gesti_seguridad!$FX$3,R61=[8]Matriz_riesgo_gesti_seguridad!$FY$3),"30%",IF(AND(Q61=[8]Matriz_riesgo_gesti_seguridad!$FX$4,R61=[8]Matriz_riesgo_gesti_seguridad!$FY$2),"35%",IF(AND(Q61=[8]Matriz_riesgo_gesti_seguridad!$FX$4,R61=[8]Matriz_riesgo_gesti_seguridad!$FY$3),"25%",""))))))</f>
        <v/>
      </c>
      <c r="T61" s="171"/>
      <c r="U61" s="171"/>
      <c r="V61" s="171"/>
      <c r="W61" s="170" t="str">
        <f>IFERROR(IF(AND(P60="Probabilidad",P61="Probabilidad"),(W60-(+W60*S61)),IF(P61="Probabilidad",(I60-(+I60*S61)),IF(P61="Impacto",W60,""))),"")</f>
        <v/>
      </c>
      <c r="X61" s="193"/>
      <c r="Y61" s="193"/>
      <c r="Z61" s="192"/>
      <c r="AA61" s="170" t="str">
        <f>IFERROR(IF(AND(P60="Impacto",S61="Impacto"),(AA60-(+AA60*S61)),IF(P61="Impacto",(L60-(+L60*S61)),IF(P61="Probabilidad",AA60,""))),"")</f>
        <v/>
      </c>
      <c r="AB61" s="193"/>
      <c r="AC61" s="197"/>
      <c r="AD61" s="192"/>
      <c r="AE61" s="192"/>
      <c r="AF61" s="192"/>
      <c r="AG61" s="172"/>
      <c r="AH61" s="172"/>
      <c r="AI61" s="163"/>
      <c r="AJ61" s="172"/>
      <c r="AK61" s="172"/>
      <c r="AL61" s="172"/>
      <c r="AM61" s="428"/>
      <c r="AN61" s="420"/>
      <c r="AO61" s="431"/>
      <c r="AP61" s="430"/>
      <c r="FO61" s="397"/>
    </row>
    <row r="62" spans="1:178" s="396" customFormat="1" ht="16.5" customHeight="1" x14ac:dyDescent="0.2">
      <c r="A62" s="433"/>
      <c r="B62" s="213"/>
      <c r="C62" s="190"/>
      <c r="D62" s="224"/>
      <c r="E62" s="192"/>
      <c r="F62" s="192"/>
      <c r="G62" s="192"/>
      <c r="H62" s="192"/>
      <c r="I62" s="192"/>
      <c r="J62" s="192"/>
      <c r="K62" s="192"/>
      <c r="L62" s="191"/>
      <c r="M62" s="192"/>
      <c r="N62" s="162"/>
      <c r="O62" s="162"/>
      <c r="P62" s="171"/>
      <c r="Q62" s="171"/>
      <c r="R62" s="171"/>
      <c r="S62" s="171" t="str">
        <f>IF(AND(Q62=[8]Matriz_riesgo_gesti_seguridad!$FX$2,R62=[8]Matriz_riesgo_gesti_seguridad!$FY$2),"50%",IF(AND(Q62=[8]Matriz_riesgo_gesti_seguridad!$FX$2,R62=[8]Matriz_riesgo_gesti_seguridad!$FY$3),"40%",IF(AND(Q62=[8]Matriz_riesgo_gesti_seguridad!$FX$3,R62=[8]Matriz_riesgo_gesti_seguridad!$FY$2),"40%",IF(AND(Q62=[8]Matriz_riesgo_gesti_seguridad!$FX$3,R62=[8]Matriz_riesgo_gesti_seguridad!$FY$3),"30%",IF(AND(Q62=[8]Matriz_riesgo_gesti_seguridad!$FX$4,R62=[8]Matriz_riesgo_gesti_seguridad!$FY$2),"35%",IF(AND(Q62=[8]Matriz_riesgo_gesti_seguridad!$FX$4,R62=[8]Matriz_riesgo_gesti_seguridad!$FY$3),"25%",""))))))</f>
        <v/>
      </c>
      <c r="T62" s="171"/>
      <c r="U62" s="171"/>
      <c r="V62" s="171"/>
      <c r="W62" s="170" t="str">
        <f>IFERROR(IF(AND(P61="Probabilidad",P62="Probabilidad"),(W61-(+W61*S62)),IF(P62="Probabilidad",(I61-(+I61*S62)),IF(P62="Impacto",W61,""))),"")</f>
        <v/>
      </c>
      <c r="X62" s="193"/>
      <c r="Y62" s="193"/>
      <c r="Z62" s="192"/>
      <c r="AA62" s="170" t="str">
        <f>IFERROR(IF(AND(P61="Impacto",S62="Impacto"),(AA61-(+AA61*S62)),IF(P62="Impacto",(L61-(+L61*S62)),IF(P62="Probabilidad",AA61,""))),"")</f>
        <v/>
      </c>
      <c r="AB62" s="193"/>
      <c r="AC62" s="197"/>
      <c r="AD62" s="192"/>
      <c r="AE62" s="192"/>
      <c r="AF62" s="192"/>
      <c r="AG62" s="172"/>
      <c r="AH62" s="172"/>
      <c r="AI62" s="163"/>
      <c r="AJ62" s="172"/>
      <c r="AK62" s="172"/>
      <c r="AL62" s="172"/>
      <c r="AM62" s="428"/>
      <c r="AN62" s="420"/>
      <c r="AO62" s="431"/>
      <c r="AP62" s="430"/>
      <c r="FO62" s="397"/>
    </row>
    <row r="63" spans="1:178" s="396" customFormat="1" ht="13.5" customHeight="1" thickBot="1" x14ac:dyDescent="0.25">
      <c r="A63" s="433"/>
      <c r="B63" s="213"/>
      <c r="C63" s="190"/>
      <c r="D63" s="224"/>
      <c r="E63" s="192"/>
      <c r="F63" s="192"/>
      <c r="G63" s="192"/>
      <c r="H63" s="192"/>
      <c r="I63" s="192"/>
      <c r="J63" s="192"/>
      <c r="K63" s="192"/>
      <c r="L63" s="191"/>
      <c r="M63" s="192"/>
      <c r="N63" s="162"/>
      <c r="O63" s="162"/>
      <c r="P63" s="171"/>
      <c r="Q63" s="171"/>
      <c r="R63" s="171"/>
      <c r="S63" s="171" t="str">
        <f>IF(AND(Q63=[8]Matriz_riesgo_gesti_seguridad!$FX$2,R63=[8]Matriz_riesgo_gesti_seguridad!$FY$2),"50%",IF(AND(Q63=[8]Matriz_riesgo_gesti_seguridad!$FX$2,R63=[8]Matriz_riesgo_gesti_seguridad!$FY$3),"40%",IF(AND(Q63=[8]Matriz_riesgo_gesti_seguridad!$FX$3,R63=[8]Matriz_riesgo_gesti_seguridad!$FY$2),"40%",IF(AND(Q63=[8]Matriz_riesgo_gesti_seguridad!$FX$3,R63=[8]Matriz_riesgo_gesti_seguridad!$FY$3),"30%",IF(AND(Q63=[8]Matriz_riesgo_gesti_seguridad!$FX$4,R63=[8]Matriz_riesgo_gesti_seguridad!$FY$2),"35%",IF(AND(Q63=[8]Matriz_riesgo_gesti_seguridad!$FX$4,R63=[8]Matriz_riesgo_gesti_seguridad!$FY$3),"25%",""))))))</f>
        <v/>
      </c>
      <c r="T63" s="171"/>
      <c r="U63" s="171"/>
      <c r="V63" s="171"/>
      <c r="W63" s="170" t="str">
        <f>IFERROR(IF(AND(P62="Probabilidad",P63="Probabilidad"),(W62-(+W62*S63)),IF(P63="Probabilidad",(I62-(+I62*S63)),IF(P63="Impacto",W62,""))),"")</f>
        <v/>
      </c>
      <c r="X63" s="193"/>
      <c r="Y63" s="193"/>
      <c r="Z63" s="192"/>
      <c r="AA63" s="170" t="str">
        <f>IFERROR(IF(AND(P62="Impacto",S63="Impacto"),(AA62-(+AA62*S63)),IF(P63="Impacto",(L62-(+L62*S63)),IF(P63="Probabilidad",AA62,""))),"")</f>
        <v/>
      </c>
      <c r="AB63" s="193"/>
      <c r="AC63" s="198"/>
      <c r="AD63" s="192"/>
      <c r="AE63" s="192"/>
      <c r="AF63" s="192"/>
      <c r="AG63" s="172"/>
      <c r="AH63" s="172"/>
      <c r="AI63" s="163"/>
      <c r="AJ63" s="172"/>
      <c r="AK63" s="172"/>
      <c r="AL63" s="172"/>
      <c r="AM63" s="429"/>
      <c r="AN63" s="426"/>
      <c r="AO63" s="431"/>
      <c r="AP63" s="430"/>
      <c r="FO63" s="397"/>
    </row>
  </sheetData>
  <sheetProtection selectLockedCells="1"/>
  <autoFilter ref="A9:AN27"/>
  <mergeCells count="227">
    <mergeCell ref="X58:X63"/>
    <mergeCell ref="Y58:Y63"/>
    <mergeCell ref="A58:A63"/>
    <mergeCell ref="B58:B63"/>
    <mergeCell ref="C58:C63"/>
    <mergeCell ref="D58:D63"/>
    <mergeCell ref="F58:F63"/>
    <mergeCell ref="E58:E63"/>
    <mergeCell ref="AN52:AN57"/>
    <mergeCell ref="M52:M57"/>
    <mergeCell ref="X52:X57"/>
    <mergeCell ref="Z52:Z57"/>
    <mergeCell ref="AB52:AB57"/>
    <mergeCell ref="AD52:AD57"/>
    <mergeCell ref="B52:B57"/>
    <mergeCell ref="AO58:AO63"/>
    <mergeCell ref="AP58:AP63"/>
    <mergeCell ref="Z58:Z63"/>
    <mergeCell ref="AB58:AB63"/>
    <mergeCell ref="AC58:AC63"/>
    <mergeCell ref="AD58:AD63"/>
    <mergeCell ref="AE58:AE63"/>
    <mergeCell ref="AF58:AF63"/>
    <mergeCell ref="AM58:AM63"/>
    <mergeCell ref="AN58:AN63"/>
    <mergeCell ref="G58:G63"/>
    <mergeCell ref="H58:H63"/>
    <mergeCell ref="I58:I63"/>
    <mergeCell ref="J58:J63"/>
    <mergeCell ref="K58:K63"/>
    <mergeCell ref="L58:L63"/>
    <mergeCell ref="M58:M63"/>
    <mergeCell ref="D8:D9"/>
    <mergeCell ref="A52:A57"/>
    <mergeCell ref="H52:H57"/>
    <mergeCell ref="I52:I57"/>
    <mergeCell ref="J52:J57"/>
    <mergeCell ref="K52:K57"/>
    <mergeCell ref="L52:L57"/>
    <mergeCell ref="AM52:AM57"/>
    <mergeCell ref="AC52:AC57"/>
    <mergeCell ref="Y52:Y57"/>
    <mergeCell ref="C52:C57"/>
    <mergeCell ref="D52:D57"/>
    <mergeCell ref="E52:E57"/>
    <mergeCell ref="F52:F57"/>
    <mergeCell ref="G52:G57"/>
    <mergeCell ref="AE52:AE57"/>
    <mergeCell ref="AF52:AF57"/>
    <mergeCell ref="G46:G51"/>
    <mergeCell ref="H46:H51"/>
    <mergeCell ref="I46:I51"/>
    <mergeCell ref="J46:J51"/>
    <mergeCell ref="A46:A51"/>
    <mergeCell ref="B46:B51"/>
    <mergeCell ref="C46:C51"/>
    <mergeCell ref="D46:D51"/>
    <mergeCell ref="E46:E51"/>
    <mergeCell ref="F46:F51"/>
    <mergeCell ref="AN46:AN51"/>
    <mergeCell ref="AM46:AM51"/>
    <mergeCell ref="AC46:AC51"/>
    <mergeCell ref="K46:K51"/>
    <mergeCell ref="L46:L51"/>
    <mergeCell ref="M46:M51"/>
    <mergeCell ref="X46:X51"/>
    <mergeCell ref="Z46:Z51"/>
    <mergeCell ref="Y46:Y51"/>
    <mergeCell ref="AB46:AB51"/>
    <mergeCell ref="AD46:AD51"/>
    <mergeCell ref="AE46:AE51"/>
    <mergeCell ref="AF46:AF51"/>
    <mergeCell ref="J34:J39"/>
    <mergeCell ref="K34:K39"/>
    <mergeCell ref="L34:L39"/>
    <mergeCell ref="M34:M39"/>
    <mergeCell ref="D34:D39"/>
    <mergeCell ref="E34:E39"/>
    <mergeCell ref="F34:F39"/>
    <mergeCell ref="G34:G39"/>
    <mergeCell ref="H34:H39"/>
    <mergeCell ref="I34:I39"/>
    <mergeCell ref="AC34:AC39"/>
    <mergeCell ref="AF34:AF39"/>
    <mergeCell ref="AG34:AG39"/>
    <mergeCell ref="A34:A39"/>
    <mergeCell ref="C34:C39"/>
    <mergeCell ref="AD34:AD39"/>
    <mergeCell ref="AE34:AE39"/>
    <mergeCell ref="AH34:AH39"/>
    <mergeCell ref="B34:B39"/>
    <mergeCell ref="A1:AN6"/>
    <mergeCell ref="A7:G7"/>
    <mergeCell ref="H7:M7"/>
    <mergeCell ref="N7:V7"/>
    <mergeCell ref="W7:AH7"/>
    <mergeCell ref="AI7:AN7"/>
    <mergeCell ref="AL8:AL9"/>
    <mergeCell ref="AM8:AM9"/>
    <mergeCell ref="AN8:AN9"/>
    <mergeCell ref="AB8:AB9"/>
    <mergeCell ref="AC8:AC9"/>
    <mergeCell ref="AE8:AE9"/>
    <mergeCell ref="AG8:AG9"/>
    <mergeCell ref="AH8:AH9"/>
    <mergeCell ref="AI8:AI9"/>
    <mergeCell ref="A10:A15"/>
    <mergeCell ref="B10:B15"/>
    <mergeCell ref="C10:C15"/>
    <mergeCell ref="A8:A9"/>
    <mergeCell ref="C8:C9"/>
    <mergeCell ref="E8:E9"/>
    <mergeCell ref="F8:F9"/>
    <mergeCell ref="G8:G9"/>
    <mergeCell ref="H8:H9"/>
    <mergeCell ref="I8:I9"/>
    <mergeCell ref="J8:J9"/>
    <mergeCell ref="Q8:V8"/>
    <mergeCell ref="W8:W9"/>
    <mergeCell ref="X8:X9"/>
    <mergeCell ref="Y8:Y9"/>
    <mergeCell ref="Z8:Z9"/>
    <mergeCell ref="AA8:AA9"/>
    <mergeCell ref="K8:K9"/>
    <mergeCell ref="L8:L9"/>
    <mergeCell ref="M8:M9"/>
    <mergeCell ref="N8:N9"/>
    <mergeCell ref="O8:O9"/>
    <mergeCell ref="P8:P9"/>
    <mergeCell ref="AJ8:AJ9"/>
    <mergeCell ref="AK8:AK9"/>
    <mergeCell ref="AH10:AH15"/>
    <mergeCell ref="J10:J15"/>
    <mergeCell ref="K10:K15"/>
    <mergeCell ref="L10:L15"/>
    <mergeCell ref="M10:M15"/>
    <mergeCell ref="AC10:AC15"/>
    <mergeCell ref="AD10:AD15"/>
    <mergeCell ref="C16:C21"/>
    <mergeCell ref="D16:D21"/>
    <mergeCell ref="E16:E21"/>
    <mergeCell ref="F16:F21"/>
    <mergeCell ref="G16:G21"/>
    <mergeCell ref="H16:H21"/>
    <mergeCell ref="AE10:AE15"/>
    <mergeCell ref="AF10:AF15"/>
    <mergeCell ref="AG10:AG15"/>
    <mergeCell ref="D10:D15"/>
    <mergeCell ref="E10:E15"/>
    <mergeCell ref="F10:F15"/>
    <mergeCell ref="G10:G15"/>
    <mergeCell ref="H10:H15"/>
    <mergeCell ref="I10:I15"/>
    <mergeCell ref="A22:A27"/>
    <mergeCell ref="B22:B27"/>
    <mergeCell ref="C22:C27"/>
    <mergeCell ref="D22:D27"/>
    <mergeCell ref="E22:E27"/>
    <mergeCell ref="F22:F27"/>
    <mergeCell ref="G22:G27"/>
    <mergeCell ref="H22:H27"/>
    <mergeCell ref="I22:I27"/>
    <mergeCell ref="AD16:AD21"/>
    <mergeCell ref="AE16:AE21"/>
    <mergeCell ref="AF16:AF21"/>
    <mergeCell ref="AG16:AG21"/>
    <mergeCell ref="AH16:AH21"/>
    <mergeCell ref="I16:I21"/>
    <mergeCell ref="J16:J21"/>
    <mergeCell ref="K16:K21"/>
    <mergeCell ref="L16:L21"/>
    <mergeCell ref="M16:M21"/>
    <mergeCell ref="AC16:AC21"/>
    <mergeCell ref="A16:A21"/>
    <mergeCell ref="B16:B21"/>
    <mergeCell ref="D28:D33"/>
    <mergeCell ref="E28:E33"/>
    <mergeCell ref="F28:F33"/>
    <mergeCell ref="AE22:AE27"/>
    <mergeCell ref="AF22:AF27"/>
    <mergeCell ref="AG22:AG27"/>
    <mergeCell ref="AH22:AH27"/>
    <mergeCell ref="J22:J27"/>
    <mergeCell ref="K22:K27"/>
    <mergeCell ref="L22:L27"/>
    <mergeCell ref="M22:M27"/>
    <mergeCell ref="AC22:AC27"/>
    <mergeCell ref="AD22:AD27"/>
    <mergeCell ref="A40:A45"/>
    <mergeCell ref="B40:B45"/>
    <mergeCell ref="C40:C45"/>
    <mergeCell ref="D40:D45"/>
    <mergeCell ref="E40:E45"/>
    <mergeCell ref="F40:F45"/>
    <mergeCell ref="AH28:AH33"/>
    <mergeCell ref="M28:M33"/>
    <mergeCell ref="AC28:AC33"/>
    <mergeCell ref="AD28:AD33"/>
    <mergeCell ref="AE28:AE33"/>
    <mergeCell ref="AF28:AF33"/>
    <mergeCell ref="AG28:AG33"/>
    <mergeCell ref="G28:G33"/>
    <mergeCell ref="H28:H33"/>
    <mergeCell ref="I28:I33"/>
    <mergeCell ref="J28:J33"/>
    <mergeCell ref="K28:K33"/>
    <mergeCell ref="L28:L33"/>
    <mergeCell ref="A28:A33"/>
    <mergeCell ref="B28:B33"/>
    <mergeCell ref="C28:C33"/>
    <mergeCell ref="G40:G45"/>
    <mergeCell ref="H40:H45"/>
    <mergeCell ref="I40:I45"/>
    <mergeCell ref="J40:J45"/>
    <mergeCell ref="K40:K45"/>
    <mergeCell ref="L40:L45"/>
    <mergeCell ref="M40:M45"/>
    <mergeCell ref="X40:X45"/>
    <mergeCell ref="Y40:Y45"/>
    <mergeCell ref="Z40:Z45"/>
    <mergeCell ref="AB40:AB45"/>
    <mergeCell ref="AC40:AC45"/>
    <mergeCell ref="AD40:AD45"/>
    <mergeCell ref="AE40:AE45"/>
    <mergeCell ref="AF40:AF45"/>
    <mergeCell ref="AM40:AM45"/>
    <mergeCell ref="AN40:AN45"/>
  </mergeCells>
  <conditionalFormatting sqref="H10">
    <cfRule type="cellIs" dxfId="482" priority="3098" operator="equal">
      <formula>"Muy Alta"</formula>
    </cfRule>
    <cfRule type="cellIs" dxfId="481" priority="3099" operator="equal">
      <formula>"Alta"</formula>
    </cfRule>
    <cfRule type="cellIs" dxfId="480" priority="3100" operator="equal">
      <formula>"Media"</formula>
    </cfRule>
    <cfRule type="cellIs" dxfId="479" priority="3101" operator="equal">
      <formula>"Baja"</formula>
    </cfRule>
    <cfRule type="cellIs" dxfId="478" priority="3102" operator="equal">
      <formula>"Muy Baja"</formula>
    </cfRule>
  </conditionalFormatting>
  <conditionalFormatting sqref="I10">
    <cfRule type="cellIs" dxfId="477" priority="3093" operator="equal">
      <formula>"Muy Alta"</formula>
    </cfRule>
    <cfRule type="cellIs" dxfId="476" priority="3094" operator="equal">
      <formula>"Alta"</formula>
    </cfRule>
    <cfRule type="cellIs" dxfId="475" priority="3095" operator="equal">
      <formula>"Media"</formula>
    </cfRule>
    <cfRule type="cellIs" dxfId="474" priority="3096" operator="equal">
      <formula>"Baja"</formula>
    </cfRule>
    <cfRule type="cellIs" dxfId="473" priority="3097" operator="equal">
      <formula>"Muy Baja"</formula>
    </cfRule>
  </conditionalFormatting>
  <conditionalFormatting sqref="K10">
    <cfRule type="cellIs" dxfId="472" priority="3088" operator="equal">
      <formula>"Catastrófico"</formula>
    </cfRule>
    <cfRule type="cellIs" dxfId="471" priority="3089" operator="equal">
      <formula>"Mayor"</formula>
    </cfRule>
    <cfRule type="cellIs" dxfId="470" priority="3090" operator="equal">
      <formula>"Moderado"</formula>
    </cfRule>
    <cfRule type="cellIs" dxfId="469" priority="3091" operator="equal">
      <formula>"Menor"</formula>
    </cfRule>
    <cfRule type="cellIs" dxfId="468" priority="3092" operator="equal">
      <formula>"Leve"</formula>
    </cfRule>
  </conditionalFormatting>
  <conditionalFormatting sqref="L10">
    <cfRule type="cellIs" dxfId="467" priority="3083" operator="equal">
      <formula>"Muy Alta"</formula>
    </cfRule>
    <cfRule type="cellIs" dxfId="466" priority="3084" operator="equal">
      <formula>"Alta"</formula>
    </cfRule>
    <cfRule type="cellIs" dxfId="465" priority="3085" operator="equal">
      <formula>"Media"</formula>
    </cfRule>
    <cfRule type="cellIs" dxfId="464" priority="3086" operator="equal">
      <formula>"Baja"</formula>
    </cfRule>
    <cfRule type="cellIs" dxfId="463" priority="3087" operator="equal">
      <formula>"Muy Baja"</formula>
    </cfRule>
  </conditionalFormatting>
  <conditionalFormatting sqref="M10">
    <cfRule type="cellIs" dxfId="462" priority="3079" operator="equal">
      <formula>"Extremo"</formula>
    </cfRule>
    <cfRule type="cellIs" dxfId="461" priority="3080" operator="equal">
      <formula>"Alto"</formula>
    </cfRule>
    <cfRule type="cellIs" dxfId="460" priority="3081" operator="equal">
      <formula>"Moderado"</formula>
    </cfRule>
    <cfRule type="cellIs" dxfId="459" priority="3082" operator="equal">
      <formula>"Bajo"</formula>
    </cfRule>
  </conditionalFormatting>
  <conditionalFormatting sqref="S10">
    <cfRule type="cellIs" dxfId="458" priority="3075" operator="equal">
      <formula>"Extremo"</formula>
    </cfRule>
    <cfRule type="cellIs" dxfId="457" priority="3076" operator="equal">
      <formula>"Alto"</formula>
    </cfRule>
    <cfRule type="cellIs" dxfId="456" priority="3077" operator="equal">
      <formula>"Moderado"</formula>
    </cfRule>
    <cfRule type="cellIs" dxfId="455" priority="3078" operator="equal">
      <formula>"Bajo"</formula>
    </cfRule>
  </conditionalFormatting>
  <conditionalFormatting sqref="S11:S15">
    <cfRule type="cellIs" dxfId="454" priority="3071" operator="equal">
      <formula>"Extremo"</formula>
    </cfRule>
    <cfRule type="cellIs" dxfId="453" priority="3072" operator="equal">
      <formula>"Alto"</formula>
    </cfRule>
    <cfRule type="cellIs" dxfId="452" priority="3073" operator="equal">
      <formula>"Moderado"</formula>
    </cfRule>
    <cfRule type="cellIs" dxfId="451" priority="3074" operator="equal">
      <formula>"Bajo"</formula>
    </cfRule>
  </conditionalFormatting>
  <conditionalFormatting sqref="X10:X15">
    <cfRule type="containsBlanks" dxfId="450" priority="3060">
      <formula>LEN(TRIM(X10))=0</formula>
    </cfRule>
    <cfRule type="cellIs" dxfId="449" priority="3066" operator="equal">
      <formula>"Muy Alta"</formula>
    </cfRule>
    <cfRule type="cellIs" dxfId="448" priority="3067" operator="equal">
      <formula>"Alta"</formula>
    </cfRule>
    <cfRule type="cellIs" dxfId="447" priority="3068" operator="equal">
      <formula>"Media"</formula>
    </cfRule>
    <cfRule type="cellIs" dxfId="446" priority="3069" operator="equal">
      <formula>"Baja"</formula>
    </cfRule>
    <cfRule type="cellIs" dxfId="445" priority="3070" operator="equal">
      <formula>"Muy Baja"</formula>
    </cfRule>
  </conditionalFormatting>
  <conditionalFormatting sqref="Z10:AA15">
    <cfRule type="cellIs" dxfId="444" priority="3061" operator="equal">
      <formula>"catastrófico"</formula>
    </cfRule>
    <cfRule type="cellIs" dxfId="443" priority="3062" operator="equal">
      <formula>"Mayor"</formula>
    </cfRule>
    <cfRule type="cellIs" dxfId="442" priority="3063" operator="equal">
      <formula>"Moderado"</formula>
    </cfRule>
    <cfRule type="cellIs" dxfId="441" priority="3064" operator="equal">
      <formula>"Menor"</formula>
    </cfRule>
    <cfRule type="cellIs" dxfId="440" priority="3065" operator="equal">
      <formula>"Leve"</formula>
    </cfRule>
  </conditionalFormatting>
  <conditionalFormatting sqref="H16">
    <cfRule type="cellIs" dxfId="439" priority="2077" operator="equal">
      <formula>"Muy Alta"</formula>
    </cfRule>
    <cfRule type="cellIs" dxfId="438" priority="2078" operator="equal">
      <formula>"Alta"</formula>
    </cfRule>
    <cfRule type="cellIs" dxfId="437" priority="2079" operator="equal">
      <formula>"Media"</formula>
    </cfRule>
    <cfRule type="cellIs" dxfId="436" priority="2080" operator="equal">
      <formula>"Baja"</formula>
    </cfRule>
    <cfRule type="cellIs" dxfId="435" priority="2081" operator="equal">
      <formula>"Muy Baja"</formula>
    </cfRule>
  </conditionalFormatting>
  <conditionalFormatting sqref="I16">
    <cfRule type="cellIs" dxfId="434" priority="2072" operator="equal">
      <formula>"Muy Alta"</formula>
    </cfRule>
    <cfRule type="cellIs" dxfId="433" priority="2073" operator="equal">
      <formula>"Alta"</formula>
    </cfRule>
    <cfRule type="cellIs" dxfId="432" priority="2074" operator="equal">
      <formula>"Media"</formula>
    </cfRule>
    <cfRule type="cellIs" dxfId="431" priority="2075" operator="equal">
      <formula>"Baja"</formula>
    </cfRule>
    <cfRule type="cellIs" dxfId="430" priority="2076" operator="equal">
      <formula>"Muy Baja"</formula>
    </cfRule>
  </conditionalFormatting>
  <conditionalFormatting sqref="K16">
    <cfRule type="cellIs" dxfId="429" priority="2067" operator="equal">
      <formula>"Catastrófico"</formula>
    </cfRule>
    <cfRule type="cellIs" dxfId="428" priority="2068" operator="equal">
      <formula>"Mayor"</formula>
    </cfRule>
    <cfRule type="cellIs" dxfId="427" priority="2069" operator="equal">
      <formula>"Moderado"</formula>
    </cfRule>
    <cfRule type="cellIs" dxfId="426" priority="2070" operator="equal">
      <formula>"Menor"</formula>
    </cfRule>
    <cfRule type="cellIs" dxfId="425" priority="2071" operator="equal">
      <formula>"Leve"</formula>
    </cfRule>
  </conditionalFormatting>
  <conditionalFormatting sqref="L16">
    <cfRule type="cellIs" dxfId="424" priority="2062" operator="equal">
      <formula>"Muy Alta"</formula>
    </cfRule>
    <cfRule type="cellIs" dxfId="423" priority="2063" operator="equal">
      <formula>"Alta"</formula>
    </cfRule>
    <cfRule type="cellIs" dxfId="422" priority="2064" operator="equal">
      <formula>"Media"</formula>
    </cfRule>
    <cfRule type="cellIs" dxfId="421" priority="2065" operator="equal">
      <formula>"Baja"</formula>
    </cfRule>
    <cfRule type="cellIs" dxfId="420" priority="2066" operator="equal">
      <formula>"Muy Baja"</formula>
    </cfRule>
  </conditionalFormatting>
  <conditionalFormatting sqref="M16">
    <cfRule type="cellIs" dxfId="419" priority="2058" operator="equal">
      <formula>"Extremo"</formula>
    </cfRule>
    <cfRule type="cellIs" dxfId="418" priority="2059" operator="equal">
      <formula>"Alto"</formula>
    </cfRule>
    <cfRule type="cellIs" dxfId="417" priority="2060" operator="equal">
      <formula>"Moderado"</formula>
    </cfRule>
    <cfRule type="cellIs" dxfId="416" priority="2061" operator="equal">
      <formula>"Bajo"</formula>
    </cfRule>
  </conditionalFormatting>
  <conditionalFormatting sqref="S16">
    <cfRule type="cellIs" dxfId="415" priority="2054" operator="equal">
      <formula>"Extremo"</formula>
    </cfRule>
    <cfRule type="cellIs" dxfId="414" priority="2055" operator="equal">
      <formula>"Alto"</formula>
    </cfRule>
    <cfRule type="cellIs" dxfId="413" priority="2056" operator="equal">
      <formula>"Moderado"</formula>
    </cfRule>
    <cfRule type="cellIs" dxfId="412" priority="2057" operator="equal">
      <formula>"Bajo"</formula>
    </cfRule>
  </conditionalFormatting>
  <conditionalFormatting sqref="S17:S21">
    <cfRule type="cellIs" dxfId="411" priority="2050" operator="equal">
      <formula>"Extremo"</formula>
    </cfRule>
    <cfRule type="cellIs" dxfId="410" priority="2051" operator="equal">
      <formula>"Alto"</formula>
    </cfRule>
    <cfRule type="cellIs" dxfId="409" priority="2052" operator="equal">
      <formula>"Moderado"</formula>
    </cfRule>
    <cfRule type="cellIs" dxfId="408" priority="2053" operator="equal">
      <formula>"Bajo"</formula>
    </cfRule>
  </conditionalFormatting>
  <conditionalFormatting sqref="X16:X21">
    <cfRule type="containsBlanks" dxfId="407" priority="2039">
      <formula>LEN(TRIM(X16))=0</formula>
    </cfRule>
    <cfRule type="cellIs" dxfId="406" priority="2045" operator="equal">
      <formula>"Muy Alta"</formula>
    </cfRule>
    <cfRule type="cellIs" dxfId="405" priority="2046" operator="equal">
      <formula>"Alta"</formula>
    </cfRule>
    <cfRule type="cellIs" dxfId="404" priority="2047" operator="equal">
      <formula>"Media"</formula>
    </cfRule>
    <cfRule type="cellIs" dxfId="403" priority="2048" operator="equal">
      <formula>"Baja"</formula>
    </cfRule>
    <cfRule type="cellIs" dxfId="402" priority="2049" operator="equal">
      <formula>"Muy Baja"</formula>
    </cfRule>
  </conditionalFormatting>
  <conditionalFormatting sqref="Z16:AA21">
    <cfRule type="cellIs" dxfId="401" priority="2040" operator="equal">
      <formula>"catastrófico"</formula>
    </cfRule>
    <cfRule type="cellIs" dxfId="400" priority="2041" operator="equal">
      <formula>"Mayor"</formula>
    </cfRule>
    <cfRule type="cellIs" dxfId="399" priority="2042" operator="equal">
      <formula>"Moderado"</formula>
    </cfRule>
    <cfRule type="cellIs" dxfId="398" priority="2043" operator="equal">
      <formula>"Menor"</formula>
    </cfRule>
    <cfRule type="cellIs" dxfId="397" priority="2044" operator="equal">
      <formula>"Leve"</formula>
    </cfRule>
  </conditionalFormatting>
  <conditionalFormatting sqref="H22">
    <cfRule type="cellIs" dxfId="396" priority="2033" operator="equal">
      <formula>"Muy Alta"</formula>
    </cfRule>
    <cfRule type="cellIs" dxfId="395" priority="2034" operator="equal">
      <formula>"Alta"</formula>
    </cfRule>
    <cfRule type="cellIs" dxfId="394" priority="2035" operator="equal">
      <formula>"Media"</formula>
    </cfRule>
    <cfRule type="cellIs" dxfId="393" priority="2036" operator="equal">
      <formula>"Baja"</formula>
    </cfRule>
    <cfRule type="cellIs" dxfId="392" priority="2037" operator="equal">
      <formula>"Muy Baja"</formula>
    </cfRule>
  </conditionalFormatting>
  <conditionalFormatting sqref="I22">
    <cfRule type="cellIs" dxfId="391" priority="2028" operator="equal">
      <formula>"Muy Alta"</formula>
    </cfRule>
    <cfRule type="cellIs" dxfId="390" priority="2029" operator="equal">
      <formula>"Alta"</formula>
    </cfRule>
    <cfRule type="cellIs" dxfId="389" priority="2030" operator="equal">
      <formula>"Media"</formula>
    </cfRule>
    <cfRule type="cellIs" dxfId="388" priority="2031" operator="equal">
      <formula>"Baja"</formula>
    </cfRule>
    <cfRule type="cellIs" dxfId="387" priority="2032" operator="equal">
      <formula>"Muy Baja"</formula>
    </cfRule>
  </conditionalFormatting>
  <conditionalFormatting sqref="K22">
    <cfRule type="cellIs" dxfId="386" priority="2023" operator="equal">
      <formula>"Catastrófico"</formula>
    </cfRule>
    <cfRule type="cellIs" dxfId="385" priority="2024" operator="equal">
      <formula>"Mayor"</formula>
    </cfRule>
    <cfRule type="cellIs" dxfId="384" priority="2025" operator="equal">
      <formula>"Moderado"</formula>
    </cfRule>
    <cfRule type="cellIs" dxfId="383" priority="2026" operator="equal">
      <formula>"Menor"</formula>
    </cfRule>
    <cfRule type="cellIs" dxfId="382" priority="2027" operator="equal">
      <formula>"Leve"</formula>
    </cfRule>
  </conditionalFormatting>
  <conditionalFormatting sqref="L22">
    <cfRule type="cellIs" dxfId="381" priority="2018" operator="equal">
      <formula>"Muy Alta"</formula>
    </cfRule>
    <cfRule type="cellIs" dxfId="380" priority="2019" operator="equal">
      <formula>"Alta"</formula>
    </cfRule>
    <cfRule type="cellIs" dxfId="379" priority="2020" operator="equal">
      <formula>"Media"</formula>
    </cfRule>
    <cfRule type="cellIs" dxfId="378" priority="2021" operator="equal">
      <formula>"Baja"</formula>
    </cfRule>
    <cfRule type="cellIs" dxfId="377" priority="2022" operator="equal">
      <formula>"Muy Baja"</formula>
    </cfRule>
  </conditionalFormatting>
  <conditionalFormatting sqref="M22">
    <cfRule type="cellIs" dxfId="376" priority="2014" operator="equal">
      <formula>"Extremo"</formula>
    </cfRule>
    <cfRule type="cellIs" dxfId="375" priority="2015" operator="equal">
      <formula>"Alto"</formula>
    </cfRule>
    <cfRule type="cellIs" dxfId="374" priority="2016" operator="equal">
      <formula>"Moderado"</formula>
    </cfRule>
    <cfRule type="cellIs" dxfId="373" priority="2017" operator="equal">
      <formula>"Bajo"</formula>
    </cfRule>
  </conditionalFormatting>
  <conditionalFormatting sqref="S22">
    <cfRule type="cellIs" dxfId="372" priority="2010" operator="equal">
      <formula>"Extremo"</formula>
    </cfRule>
    <cfRule type="cellIs" dxfId="371" priority="2011" operator="equal">
      <formula>"Alto"</formula>
    </cfRule>
    <cfRule type="cellIs" dxfId="370" priority="2012" operator="equal">
      <formula>"Moderado"</formula>
    </cfRule>
    <cfRule type="cellIs" dxfId="369" priority="2013" operator="equal">
      <formula>"Bajo"</formula>
    </cfRule>
  </conditionalFormatting>
  <conditionalFormatting sqref="S23:S27">
    <cfRule type="cellIs" dxfId="368" priority="2006" operator="equal">
      <formula>"Extremo"</formula>
    </cfRule>
    <cfRule type="cellIs" dxfId="367" priority="2007" operator="equal">
      <formula>"Alto"</formula>
    </cfRule>
    <cfRule type="cellIs" dxfId="366" priority="2008" operator="equal">
      <formula>"Moderado"</formula>
    </cfRule>
    <cfRule type="cellIs" dxfId="365" priority="2009" operator="equal">
      <formula>"Bajo"</formula>
    </cfRule>
  </conditionalFormatting>
  <conditionalFormatting sqref="X22:X27">
    <cfRule type="containsBlanks" dxfId="364" priority="1995">
      <formula>LEN(TRIM(X22))=0</formula>
    </cfRule>
    <cfRule type="cellIs" dxfId="363" priority="2001" operator="equal">
      <formula>"Muy Alta"</formula>
    </cfRule>
    <cfRule type="cellIs" dxfId="362" priority="2002" operator="equal">
      <formula>"Alta"</formula>
    </cfRule>
    <cfRule type="cellIs" dxfId="361" priority="2003" operator="equal">
      <formula>"Media"</formula>
    </cfRule>
    <cfRule type="cellIs" dxfId="360" priority="2004" operator="equal">
      <formula>"Baja"</formula>
    </cfRule>
    <cfRule type="cellIs" dxfId="359" priority="2005" operator="equal">
      <formula>"Muy Baja"</formula>
    </cfRule>
  </conditionalFormatting>
  <conditionalFormatting sqref="Z22:AA27">
    <cfRule type="cellIs" dxfId="358" priority="1996" operator="equal">
      <formula>"catastrófico"</formula>
    </cfRule>
    <cfRule type="cellIs" dxfId="357" priority="1997" operator="equal">
      <formula>"Mayor"</formula>
    </cfRule>
    <cfRule type="cellIs" dxfId="356" priority="1998" operator="equal">
      <formula>"Moderado"</formula>
    </cfRule>
    <cfRule type="cellIs" dxfId="355" priority="1999" operator="equal">
      <formula>"Menor"</formula>
    </cfRule>
    <cfRule type="cellIs" dxfId="354" priority="2000" operator="equal">
      <formula>"Leve"</formula>
    </cfRule>
  </conditionalFormatting>
  <conditionalFormatting sqref="AF10 AF16 AF22">
    <cfRule type="cellIs" dxfId="353" priority="893" operator="equal">
      <formula>"Catastrófico"</formula>
    </cfRule>
    <cfRule type="cellIs" dxfId="352" priority="894" operator="equal">
      <formula>"Mayor"</formula>
    </cfRule>
    <cfRule type="cellIs" dxfId="351" priority="895" operator="equal">
      <formula>"Moderado"</formula>
    </cfRule>
    <cfRule type="cellIs" dxfId="350" priority="896" operator="equal">
      <formula>"Menor"</formula>
    </cfRule>
    <cfRule type="cellIs" dxfId="349" priority="897" operator="equal">
      <formula>"Leve"</formula>
    </cfRule>
  </conditionalFormatting>
  <conditionalFormatting sqref="AD10">
    <cfRule type="cellIs" dxfId="348" priority="873" operator="equal">
      <formula>"Muy Alta"</formula>
    </cfRule>
    <cfRule type="cellIs" dxfId="347" priority="874" operator="equal">
      <formula>"Alta"</formula>
    </cfRule>
    <cfRule type="cellIs" dxfId="346" priority="875" operator="equal">
      <formula>"Media"</formula>
    </cfRule>
    <cfRule type="cellIs" dxfId="345" priority="876" operator="equal">
      <formula>"Baja"</formula>
    </cfRule>
    <cfRule type="cellIs" dxfId="344" priority="877" operator="equal">
      <formula>"Muy Baja"</formula>
    </cfRule>
  </conditionalFormatting>
  <conditionalFormatting sqref="AD16">
    <cfRule type="cellIs" dxfId="343" priority="648" operator="equal">
      <formula>"Muy Alta"</formula>
    </cfRule>
    <cfRule type="cellIs" dxfId="342" priority="649" operator="equal">
      <formula>"Alta"</formula>
    </cfRule>
    <cfRule type="cellIs" dxfId="341" priority="650" operator="equal">
      <formula>"Media"</formula>
    </cfRule>
    <cfRule type="cellIs" dxfId="340" priority="651" operator="equal">
      <formula>"Baja"</formula>
    </cfRule>
    <cfRule type="cellIs" dxfId="339" priority="652" operator="equal">
      <formula>"Muy Baja"</formula>
    </cfRule>
  </conditionalFormatting>
  <conditionalFormatting sqref="AD22">
    <cfRule type="cellIs" dxfId="338" priority="643" operator="equal">
      <formula>"Muy Alta"</formula>
    </cfRule>
    <cfRule type="cellIs" dxfId="337" priority="644" operator="equal">
      <formula>"Alta"</formula>
    </cfRule>
    <cfRule type="cellIs" dxfId="336" priority="645" operator="equal">
      <formula>"Media"</formula>
    </cfRule>
    <cfRule type="cellIs" dxfId="335" priority="646" operator="equal">
      <formula>"Baja"</formula>
    </cfRule>
    <cfRule type="cellIs" dxfId="334" priority="647" operator="equal">
      <formula>"Muy Baja"</formula>
    </cfRule>
  </conditionalFormatting>
  <conditionalFormatting sqref="AG10 AG16 AG22">
    <cfRule type="cellIs" dxfId="333" priority="519" operator="equal">
      <formula>"Extremo"</formula>
    </cfRule>
    <cfRule type="cellIs" dxfId="332" priority="520" operator="equal">
      <formula>"Alto"</formula>
    </cfRule>
    <cfRule type="cellIs" dxfId="331" priority="521" operator="equal">
      <formula>"Moderado"</formula>
    </cfRule>
    <cfRule type="cellIs" dxfId="330" priority="522" operator="equal">
      <formula>"Bajo"</formula>
    </cfRule>
  </conditionalFormatting>
  <conditionalFormatting sqref="H28">
    <cfRule type="cellIs" dxfId="329" priority="225" operator="equal">
      <formula>"Muy Alta"</formula>
    </cfRule>
    <cfRule type="cellIs" dxfId="328" priority="226" operator="equal">
      <formula>"Alta"</formula>
    </cfRule>
    <cfRule type="cellIs" dxfId="327" priority="227" operator="equal">
      <formula>"Media"</formula>
    </cfRule>
    <cfRule type="cellIs" dxfId="326" priority="228" operator="equal">
      <formula>"Baja"</formula>
    </cfRule>
    <cfRule type="cellIs" dxfId="325" priority="229" operator="equal">
      <formula>"Muy Baja"</formula>
    </cfRule>
  </conditionalFormatting>
  <conditionalFormatting sqref="I28">
    <cfRule type="cellIs" dxfId="324" priority="220" operator="equal">
      <formula>"Muy Alta"</formula>
    </cfRule>
    <cfRule type="cellIs" dxfId="323" priority="221" operator="equal">
      <formula>"Alta"</formula>
    </cfRule>
    <cfRule type="cellIs" dxfId="322" priority="222" operator="equal">
      <formula>"Media"</formula>
    </cfRule>
    <cfRule type="cellIs" dxfId="321" priority="223" operator="equal">
      <formula>"Baja"</formula>
    </cfRule>
    <cfRule type="cellIs" dxfId="320" priority="224" operator="equal">
      <formula>"Muy Baja"</formula>
    </cfRule>
  </conditionalFormatting>
  <conditionalFormatting sqref="K28">
    <cfRule type="cellIs" dxfId="319" priority="215" operator="equal">
      <formula>"Catastrófico"</formula>
    </cfRule>
    <cfRule type="cellIs" dxfId="318" priority="216" operator="equal">
      <formula>"Mayor"</formula>
    </cfRule>
    <cfRule type="cellIs" dxfId="317" priority="217" operator="equal">
      <formula>"Moderado"</formula>
    </cfRule>
    <cfRule type="cellIs" dxfId="316" priority="218" operator="equal">
      <formula>"Menor"</formula>
    </cfRule>
    <cfRule type="cellIs" dxfId="315" priority="219" operator="equal">
      <formula>"Leve"</formula>
    </cfRule>
  </conditionalFormatting>
  <conditionalFormatting sqref="L28">
    <cfRule type="cellIs" dxfId="314" priority="210" operator="equal">
      <formula>"Muy Alta"</formula>
    </cfRule>
    <cfRule type="cellIs" dxfId="313" priority="211" operator="equal">
      <formula>"Alta"</formula>
    </cfRule>
    <cfRule type="cellIs" dxfId="312" priority="212" operator="equal">
      <formula>"Media"</formula>
    </cfRule>
    <cfRule type="cellIs" dxfId="311" priority="213" operator="equal">
      <formula>"Baja"</formula>
    </cfRule>
    <cfRule type="cellIs" dxfId="310" priority="214" operator="equal">
      <formula>"Muy Baja"</formula>
    </cfRule>
  </conditionalFormatting>
  <conditionalFormatting sqref="M28">
    <cfRule type="cellIs" dxfId="309" priority="206" operator="equal">
      <formula>"Extremo"</formula>
    </cfRule>
    <cfRule type="cellIs" dxfId="308" priority="207" operator="equal">
      <formula>"Alto"</formula>
    </cfRule>
    <cfRule type="cellIs" dxfId="307" priority="208" operator="equal">
      <formula>"Moderado"</formula>
    </cfRule>
    <cfRule type="cellIs" dxfId="306" priority="209" operator="equal">
      <formula>"Bajo"</formula>
    </cfRule>
  </conditionalFormatting>
  <conditionalFormatting sqref="S28">
    <cfRule type="cellIs" dxfId="305" priority="202" operator="equal">
      <formula>"Extremo"</formula>
    </cfRule>
    <cfRule type="cellIs" dxfId="304" priority="203" operator="equal">
      <formula>"Alto"</formula>
    </cfRule>
    <cfRule type="cellIs" dxfId="303" priority="204" operator="equal">
      <formula>"Moderado"</formula>
    </cfRule>
    <cfRule type="cellIs" dxfId="302" priority="205" operator="equal">
      <formula>"Bajo"</formula>
    </cfRule>
  </conditionalFormatting>
  <conditionalFormatting sqref="S29:S33">
    <cfRule type="cellIs" dxfId="301" priority="198" operator="equal">
      <formula>"Extremo"</formula>
    </cfRule>
    <cfRule type="cellIs" dxfId="300" priority="199" operator="equal">
      <formula>"Alto"</formula>
    </cfRule>
    <cfRule type="cellIs" dxfId="299" priority="200" operator="equal">
      <formula>"Moderado"</formula>
    </cfRule>
    <cfRule type="cellIs" dxfId="298" priority="201" operator="equal">
      <formula>"Bajo"</formula>
    </cfRule>
  </conditionalFormatting>
  <conditionalFormatting sqref="X28:X33">
    <cfRule type="containsBlanks" dxfId="297" priority="187">
      <formula>LEN(TRIM(X28))=0</formula>
    </cfRule>
    <cfRule type="cellIs" dxfId="296" priority="193" operator="equal">
      <formula>"Muy Alta"</formula>
    </cfRule>
    <cfRule type="cellIs" dxfId="295" priority="194" operator="equal">
      <formula>"Alta"</formula>
    </cfRule>
    <cfRule type="cellIs" dxfId="294" priority="195" operator="equal">
      <formula>"Media"</formula>
    </cfRule>
    <cfRule type="cellIs" dxfId="293" priority="196" operator="equal">
      <formula>"Baja"</formula>
    </cfRule>
    <cfRule type="cellIs" dxfId="292" priority="197" operator="equal">
      <formula>"Muy Baja"</formula>
    </cfRule>
  </conditionalFormatting>
  <conditionalFormatting sqref="Z28:AA33">
    <cfRule type="cellIs" dxfId="291" priority="188" operator="equal">
      <formula>"catastrófico"</formula>
    </cfRule>
    <cfRule type="cellIs" dxfId="290" priority="189" operator="equal">
      <formula>"Mayor"</formula>
    </cfRule>
    <cfRule type="cellIs" dxfId="289" priority="190" operator="equal">
      <formula>"Moderado"</formula>
    </cfRule>
    <cfRule type="cellIs" dxfId="288" priority="191" operator="equal">
      <formula>"Menor"</formula>
    </cfRule>
    <cfRule type="cellIs" dxfId="287" priority="192" operator="equal">
      <formula>"Leve"</formula>
    </cfRule>
  </conditionalFormatting>
  <conditionalFormatting sqref="AF28">
    <cfRule type="cellIs" dxfId="286" priority="182" operator="equal">
      <formula>"Catastrófico"</formula>
    </cfRule>
    <cfRule type="cellIs" dxfId="285" priority="183" operator="equal">
      <formula>"Mayor"</formula>
    </cfRule>
    <cfRule type="cellIs" dxfId="284" priority="184" operator="equal">
      <formula>"Moderado"</formula>
    </cfRule>
    <cfRule type="cellIs" dxfId="283" priority="185" operator="equal">
      <formula>"Menor"</formula>
    </cfRule>
    <cfRule type="cellIs" dxfId="282" priority="186" operator="equal">
      <formula>"Leve"</formula>
    </cfRule>
  </conditionalFormatting>
  <conditionalFormatting sqref="AD28">
    <cfRule type="cellIs" dxfId="281" priority="177" operator="equal">
      <formula>"Muy Alta"</formula>
    </cfRule>
    <cfRule type="cellIs" dxfId="280" priority="178" operator="equal">
      <formula>"Alta"</formula>
    </cfRule>
    <cfRule type="cellIs" dxfId="279" priority="179" operator="equal">
      <formula>"Media"</formula>
    </cfRule>
    <cfRule type="cellIs" dxfId="278" priority="180" operator="equal">
      <formula>"Baja"</formula>
    </cfRule>
    <cfRule type="cellIs" dxfId="277" priority="181" operator="equal">
      <formula>"Muy Baja"</formula>
    </cfRule>
  </conditionalFormatting>
  <conditionalFormatting sqref="AG28">
    <cfRule type="cellIs" dxfId="276" priority="173" operator="equal">
      <formula>"Extremo"</formula>
    </cfRule>
    <cfRule type="cellIs" dxfId="275" priority="174" operator="equal">
      <formula>"Alto"</formula>
    </cfRule>
    <cfRule type="cellIs" dxfId="274" priority="175" operator="equal">
      <formula>"Moderado"</formula>
    </cfRule>
    <cfRule type="cellIs" dxfId="273" priority="176" operator="equal">
      <formula>"Bajo"</formula>
    </cfRule>
  </conditionalFormatting>
  <conditionalFormatting sqref="M34:M39">
    <cfRule type="containsText" dxfId="272" priority="169" operator="containsText" text="Extremo">
      <formula>NOT(ISERROR(SEARCH("Extremo",M34)))</formula>
    </cfRule>
    <cfRule type="containsText" dxfId="271" priority="170" operator="containsText" text="Alto">
      <formula>NOT(ISERROR(SEARCH("Alto",M34)))</formula>
    </cfRule>
    <cfRule type="containsText" dxfId="270" priority="171" operator="containsText" text="Moderado">
      <formula>NOT(ISERROR(SEARCH("Moderado",M34)))</formula>
    </cfRule>
    <cfRule type="containsText" dxfId="269" priority="172" operator="containsText" text="Bajo">
      <formula>NOT(ISERROR(SEARCH("Bajo",M34)))</formula>
    </cfRule>
  </conditionalFormatting>
  <conditionalFormatting sqref="H34:H39">
    <cfRule type="cellIs" dxfId="268" priority="154" operator="equal">
      <formula>"Muy Alta"</formula>
    </cfRule>
    <cfRule type="cellIs" dxfId="267" priority="155" operator="equal">
      <formula>"Alta"</formula>
    </cfRule>
    <cfRule type="cellIs" dxfId="266" priority="156" operator="equal">
      <formula>"Media"</formula>
    </cfRule>
    <cfRule type="cellIs" dxfId="265" priority="157" operator="equal">
      <formula>"Baja"</formula>
    </cfRule>
    <cfRule type="cellIs" dxfId="264" priority="158" operator="equal">
      <formula>"Muy Baja"</formula>
    </cfRule>
  </conditionalFormatting>
  <conditionalFormatting sqref="K34:K39">
    <cfRule type="cellIs" dxfId="263" priority="149" operator="equal">
      <formula>"Mayor"</formula>
    </cfRule>
    <cfRule type="cellIs" dxfId="262" priority="150" operator="equal">
      <formula>"Moderado"</formula>
    </cfRule>
    <cfRule type="cellIs" dxfId="261" priority="151" operator="equal">
      <formula>"Menor"</formula>
    </cfRule>
    <cfRule type="cellIs" dxfId="260" priority="152" operator="equal">
      <formula>"Leve"</formula>
    </cfRule>
    <cfRule type="cellIs" dxfId="259" priority="153" operator="equal">
      <formula>"Catastrófico"</formula>
    </cfRule>
  </conditionalFormatting>
  <conditionalFormatting sqref="X34:X39">
    <cfRule type="containsBlanks" dxfId="258" priority="133">
      <formula>LEN(TRIM(X34))=0</formula>
    </cfRule>
    <cfRule type="cellIs" dxfId="257" priority="139" operator="equal">
      <formula>"Muy Alta"</formula>
    </cfRule>
    <cfRule type="cellIs" dxfId="256" priority="140" operator="equal">
      <formula>"Alta"</formula>
    </cfRule>
    <cfRule type="cellIs" dxfId="255" priority="141" operator="equal">
      <formula>"Media"</formula>
    </cfRule>
    <cfRule type="cellIs" dxfId="254" priority="142" operator="equal">
      <formula>"Baja"</formula>
    </cfRule>
    <cfRule type="cellIs" dxfId="253" priority="143" operator="equal">
      <formula>"Muy Baja"</formula>
    </cfRule>
  </conditionalFormatting>
  <conditionalFormatting sqref="Z35:AA39 AA34">
    <cfRule type="cellIs" dxfId="252" priority="134" operator="equal">
      <formula>"catastrófico"</formula>
    </cfRule>
    <cfRule type="cellIs" dxfId="251" priority="135" operator="equal">
      <formula>"Mayor"</formula>
    </cfRule>
    <cfRule type="cellIs" dxfId="250" priority="136" operator="equal">
      <formula>"Moderado"</formula>
    </cfRule>
    <cfRule type="cellIs" dxfId="249" priority="137" operator="equal">
      <formula>"Menor"</formula>
    </cfRule>
    <cfRule type="cellIs" dxfId="248" priority="138" operator="equal">
      <formula>"Leve"</formula>
    </cfRule>
  </conditionalFormatting>
  <conditionalFormatting sqref="AF34">
    <cfRule type="cellIs" dxfId="247" priority="128" operator="equal">
      <formula>"Catastrófico"</formula>
    </cfRule>
    <cfRule type="cellIs" dxfId="246" priority="129" operator="equal">
      <formula>"Mayor"</formula>
    </cfRule>
    <cfRule type="cellIs" dxfId="245" priority="130" operator="equal">
      <formula>"Moderado"</formula>
    </cfRule>
    <cfRule type="cellIs" dxfId="244" priority="131" operator="equal">
      <formula>"Menor"</formula>
    </cfRule>
    <cfRule type="cellIs" dxfId="243" priority="132" operator="equal">
      <formula>"Leve"</formula>
    </cfRule>
  </conditionalFormatting>
  <conditionalFormatting sqref="AD34">
    <cfRule type="cellIs" dxfId="242" priority="123" operator="equal">
      <formula>"Muy Alta"</formula>
    </cfRule>
    <cfRule type="cellIs" dxfId="241" priority="124" operator="equal">
      <formula>"Alta"</formula>
    </cfRule>
    <cfRule type="cellIs" dxfId="240" priority="125" operator="equal">
      <formula>"Media"</formula>
    </cfRule>
    <cfRule type="cellIs" dxfId="239" priority="126" operator="equal">
      <formula>"Baja"</formula>
    </cfRule>
    <cfRule type="cellIs" dxfId="238" priority="127" operator="equal">
      <formula>"Muy Baja"</formula>
    </cfRule>
  </conditionalFormatting>
  <conditionalFormatting sqref="AG34">
    <cfRule type="cellIs" dxfId="237" priority="119" operator="equal">
      <formula>"Extremo"</formula>
    </cfRule>
    <cfRule type="cellIs" dxfId="236" priority="120" operator="equal">
      <formula>"Alto"</formula>
    </cfRule>
    <cfRule type="cellIs" dxfId="235" priority="121" operator="equal">
      <formula>"Moderado"</formula>
    </cfRule>
    <cfRule type="cellIs" dxfId="234" priority="122" operator="equal">
      <formula>"Bajo"</formula>
    </cfRule>
  </conditionalFormatting>
  <conditionalFormatting sqref="Z34">
    <cfRule type="cellIs" dxfId="233" priority="113" operator="equal">
      <formula>"catastrófico"</formula>
    </cfRule>
    <cfRule type="cellIs" dxfId="232" priority="114" operator="equal">
      <formula>"Mayor"</formula>
    </cfRule>
    <cfRule type="cellIs" dxfId="231" priority="115" operator="equal">
      <formula>"Moderado"</formula>
    </cfRule>
    <cfRule type="cellIs" dxfId="230" priority="116" operator="equal">
      <formula>"Menor"</formula>
    </cfRule>
    <cfRule type="cellIs" dxfId="229" priority="117" operator="equal">
      <formula>"Leve"</formula>
    </cfRule>
  </conditionalFormatting>
  <conditionalFormatting sqref="M40:M45">
    <cfRule type="containsText" dxfId="228" priority="109" operator="containsText" text="Extremo">
      <formula>NOT(ISERROR(SEARCH("Extremo",M40)))</formula>
    </cfRule>
    <cfRule type="containsText" dxfId="227" priority="110" operator="containsText" text="Alto">
      <formula>NOT(ISERROR(SEARCH("Alto",M40)))</formula>
    </cfRule>
    <cfRule type="containsText" dxfId="226" priority="111" operator="containsText" text="Moderado">
      <formula>NOT(ISERROR(SEARCH("Moderado",M40)))</formula>
    </cfRule>
    <cfRule type="containsText" dxfId="225" priority="112" operator="containsText" text="Bajo">
      <formula>NOT(ISERROR(SEARCH("Bajo",M40)))</formula>
    </cfRule>
  </conditionalFormatting>
  <conditionalFormatting sqref="Z40:Z45">
    <cfRule type="cellIs" dxfId="224" priority="104" operator="equal">
      <formula>"Muy Alta"</formula>
    </cfRule>
    <cfRule type="cellIs" dxfId="223" priority="105" operator="equal">
      <formula>"Alta"</formula>
    </cfRule>
    <cfRule type="cellIs" dxfId="222" priority="106" operator="equal">
      <formula>"Media"</formula>
    </cfRule>
    <cfRule type="cellIs" dxfId="221" priority="107" operator="equal">
      <formula>"Baja"</formula>
    </cfRule>
    <cfRule type="cellIs" dxfId="220" priority="108" operator="equal">
      <formula>"Muy Baja"</formula>
    </cfRule>
  </conditionalFormatting>
  <conditionalFormatting sqref="H40:H45">
    <cfRule type="cellIs" dxfId="219" priority="99" operator="equal">
      <formula>"Muy Alta"</formula>
    </cfRule>
    <cfRule type="cellIs" dxfId="218" priority="100" operator="equal">
      <formula>"Alta"</formula>
    </cfRule>
    <cfRule type="cellIs" dxfId="217" priority="101" operator="equal">
      <formula>"Media"</formula>
    </cfRule>
    <cfRule type="cellIs" dxfId="216" priority="102" operator="equal">
      <formula>"Baja"</formula>
    </cfRule>
    <cfRule type="cellIs" dxfId="215" priority="103" operator="equal">
      <formula>"Muy Baja"</formula>
    </cfRule>
  </conditionalFormatting>
  <conditionalFormatting sqref="K40:K45">
    <cfRule type="cellIs" dxfId="214" priority="94" operator="equal">
      <formula>"Mayor"</formula>
    </cfRule>
    <cfRule type="cellIs" dxfId="213" priority="95" operator="equal">
      <formula>"Moderado"</formula>
    </cfRule>
    <cfRule type="cellIs" dxfId="212" priority="96" operator="equal">
      <formula>"Menor"</formula>
    </cfRule>
    <cfRule type="cellIs" dxfId="211" priority="97" operator="equal">
      <formula>"Leve"</formula>
    </cfRule>
    <cfRule type="cellIs" dxfId="210" priority="98" operator="equal">
      <formula>"Catastrófico"</formula>
    </cfRule>
  </conditionalFormatting>
  <conditionalFormatting sqref="AE40:AE45">
    <cfRule type="cellIs" dxfId="209" priority="90" operator="equal">
      <formula>"Extremo"</formula>
    </cfRule>
    <cfRule type="cellIs" dxfId="208" priority="91" operator="equal">
      <formula>"Alto"</formula>
    </cfRule>
    <cfRule type="cellIs" dxfId="207" priority="92" operator="equal">
      <formula>"Moderado"</formula>
    </cfRule>
    <cfRule type="cellIs" dxfId="206" priority="93" operator="equal">
      <formula>"Bajo"</formula>
    </cfRule>
  </conditionalFormatting>
  <conditionalFormatting sqref="AD40:AD45">
    <cfRule type="cellIs" dxfId="205" priority="85" operator="equal">
      <formula>"Catastrófico"</formula>
    </cfRule>
    <cfRule type="cellIs" dxfId="204" priority="86" operator="equal">
      <formula>"Mayor"</formula>
    </cfRule>
    <cfRule type="cellIs" dxfId="203" priority="87" operator="equal">
      <formula>"Moderado"</formula>
    </cfRule>
    <cfRule type="cellIs" dxfId="202" priority="88" operator="equal">
      <formula>"Menor"</formula>
    </cfRule>
    <cfRule type="cellIs" dxfId="201" priority="89" operator="equal">
      <formula>"Leve"</formula>
    </cfRule>
  </conditionalFormatting>
  <conditionalFormatting sqref="M46:M51">
    <cfRule type="containsText" dxfId="194" priority="81" operator="containsText" text="Extremo">
      <formula>NOT(ISERROR(SEARCH("Extremo",M46)))</formula>
    </cfRule>
    <cfRule type="containsText" dxfId="193" priority="82" operator="containsText" text="Alto">
      <formula>NOT(ISERROR(SEARCH("Alto",M46)))</formula>
    </cfRule>
    <cfRule type="containsText" dxfId="192" priority="83" operator="containsText" text="Moderado">
      <formula>NOT(ISERROR(SEARCH("Moderado",M46)))</formula>
    </cfRule>
    <cfRule type="containsText" dxfId="191" priority="84" operator="containsText" text="Bajo">
      <formula>NOT(ISERROR(SEARCH("Bajo",M46)))</formula>
    </cfRule>
  </conditionalFormatting>
  <conditionalFormatting sqref="Z46:Z51">
    <cfRule type="cellIs" dxfId="190" priority="76" operator="equal">
      <formula>"Muy Alta"</formula>
    </cfRule>
    <cfRule type="cellIs" dxfId="189" priority="77" operator="equal">
      <formula>"Alta"</formula>
    </cfRule>
    <cfRule type="cellIs" dxfId="188" priority="78" operator="equal">
      <formula>"Media"</formula>
    </cfRule>
    <cfRule type="cellIs" dxfId="187" priority="79" operator="equal">
      <formula>"Baja"</formula>
    </cfRule>
    <cfRule type="cellIs" dxfId="186" priority="80" operator="equal">
      <formula>"Muy Baja"</formula>
    </cfRule>
  </conditionalFormatting>
  <conditionalFormatting sqref="H46:H51">
    <cfRule type="cellIs" dxfId="185" priority="71" operator="equal">
      <formula>"Muy Alta"</formula>
    </cfRule>
    <cfRule type="cellIs" dxfId="184" priority="72" operator="equal">
      <formula>"Alta"</formula>
    </cfRule>
    <cfRule type="cellIs" dxfId="183" priority="73" operator="equal">
      <formula>"Media"</formula>
    </cfRule>
    <cfRule type="cellIs" dxfId="182" priority="74" operator="equal">
      <formula>"Baja"</formula>
    </cfRule>
    <cfRule type="cellIs" dxfId="181" priority="75" operator="equal">
      <formula>"Muy Baja"</formula>
    </cfRule>
  </conditionalFormatting>
  <conditionalFormatting sqref="K46:K51">
    <cfRule type="cellIs" dxfId="180" priority="66" operator="equal">
      <formula>"Mayor"</formula>
    </cfRule>
    <cfRule type="cellIs" dxfId="179" priority="67" operator="equal">
      <formula>"Moderado"</formula>
    </cfRule>
    <cfRule type="cellIs" dxfId="178" priority="68" operator="equal">
      <formula>"Menor"</formula>
    </cfRule>
    <cfRule type="cellIs" dxfId="177" priority="69" operator="equal">
      <formula>"Leve"</formula>
    </cfRule>
    <cfRule type="cellIs" dxfId="176" priority="70" operator="equal">
      <formula>"Catastrófico"</formula>
    </cfRule>
  </conditionalFormatting>
  <conditionalFormatting sqref="AE46:AE51">
    <cfRule type="cellIs" dxfId="175" priority="62" operator="equal">
      <formula>"Extremo"</formula>
    </cfRule>
    <cfRule type="cellIs" dxfId="174" priority="63" operator="equal">
      <formula>"Alto"</formula>
    </cfRule>
    <cfRule type="cellIs" dxfId="173" priority="64" operator="equal">
      <formula>"Moderado"</formula>
    </cfRule>
    <cfRule type="cellIs" dxfId="172" priority="65" operator="equal">
      <formula>"Bajo"</formula>
    </cfRule>
  </conditionalFormatting>
  <conditionalFormatting sqref="AD46:AD51">
    <cfRule type="cellIs" dxfId="171" priority="57" operator="equal">
      <formula>"Catastrófico"</formula>
    </cfRule>
    <cfRule type="cellIs" dxfId="170" priority="58" operator="equal">
      <formula>"Mayor"</formula>
    </cfRule>
    <cfRule type="cellIs" dxfId="169" priority="59" operator="equal">
      <formula>"Moderado"</formula>
    </cfRule>
    <cfRule type="cellIs" dxfId="168" priority="60" operator="equal">
      <formula>"Menor"</formula>
    </cfRule>
    <cfRule type="cellIs" dxfId="167" priority="61" operator="equal">
      <formula>"Leve"</formula>
    </cfRule>
  </conditionalFormatting>
  <conditionalFormatting sqref="M52:M57">
    <cfRule type="containsText" dxfId="166" priority="53" operator="containsText" text="Extremo">
      <formula>NOT(ISERROR(SEARCH("Extremo",M52)))</formula>
    </cfRule>
    <cfRule type="containsText" dxfId="165" priority="54" operator="containsText" text="Alto">
      <formula>NOT(ISERROR(SEARCH("Alto",M52)))</formula>
    </cfRule>
    <cfRule type="containsText" dxfId="164" priority="55" operator="containsText" text="Moderado">
      <formula>NOT(ISERROR(SEARCH("Moderado",M52)))</formula>
    </cfRule>
    <cfRule type="containsText" dxfId="163" priority="56" operator="containsText" text="Bajo">
      <formula>NOT(ISERROR(SEARCH("Bajo",M52)))</formula>
    </cfRule>
  </conditionalFormatting>
  <conditionalFormatting sqref="Z52:Z57">
    <cfRule type="cellIs" dxfId="162" priority="48" operator="equal">
      <formula>"Muy Alta"</formula>
    </cfRule>
    <cfRule type="cellIs" dxfId="161" priority="49" operator="equal">
      <formula>"Alta"</formula>
    </cfRule>
    <cfRule type="cellIs" dxfId="160" priority="50" operator="equal">
      <formula>"Media"</formula>
    </cfRule>
    <cfRule type="cellIs" dxfId="159" priority="51" operator="equal">
      <formula>"Baja"</formula>
    </cfRule>
    <cfRule type="cellIs" dxfId="158" priority="52" operator="equal">
      <formula>"Muy Baja"</formula>
    </cfRule>
  </conditionalFormatting>
  <conditionalFormatting sqref="H52:H57">
    <cfRule type="cellIs" dxfId="157" priority="43" operator="equal">
      <formula>"Muy Alta"</formula>
    </cfRule>
    <cfRule type="cellIs" dxfId="156" priority="44" operator="equal">
      <formula>"Alta"</formula>
    </cfRule>
    <cfRule type="cellIs" dxfId="155" priority="45" operator="equal">
      <formula>"Media"</formula>
    </cfRule>
    <cfRule type="cellIs" dxfId="154" priority="46" operator="equal">
      <formula>"Baja"</formula>
    </cfRule>
    <cfRule type="cellIs" dxfId="153" priority="47" operator="equal">
      <formula>"Muy Baja"</formula>
    </cfRule>
  </conditionalFormatting>
  <conditionalFormatting sqref="K52:K57">
    <cfRule type="cellIs" dxfId="152" priority="38" operator="equal">
      <formula>"Mayor"</formula>
    </cfRule>
    <cfRule type="cellIs" dxfId="151" priority="39" operator="equal">
      <formula>"Moderado"</formula>
    </cfRule>
    <cfRule type="cellIs" dxfId="150" priority="40" operator="equal">
      <formula>"Menor"</formula>
    </cfRule>
    <cfRule type="cellIs" dxfId="149" priority="41" operator="equal">
      <formula>"Leve"</formula>
    </cfRule>
    <cfRule type="cellIs" dxfId="148" priority="42" operator="equal">
      <formula>"Catastrófico"</formula>
    </cfRule>
  </conditionalFormatting>
  <conditionalFormatting sqref="AE52:AE57">
    <cfRule type="cellIs" dxfId="147" priority="34" operator="equal">
      <formula>"Extremo"</formula>
    </cfRule>
    <cfRule type="cellIs" dxfId="146" priority="35" operator="equal">
      <formula>"Alto"</formula>
    </cfRule>
    <cfRule type="cellIs" dxfId="145" priority="36" operator="equal">
      <formula>"Moderado"</formula>
    </cfRule>
    <cfRule type="cellIs" dxfId="144" priority="37" operator="equal">
      <formula>"Bajo"</formula>
    </cfRule>
  </conditionalFormatting>
  <conditionalFormatting sqref="AD52:AD57">
    <cfRule type="cellIs" dxfId="143" priority="29" operator="equal">
      <formula>"Catastrófico"</formula>
    </cfRule>
    <cfRule type="cellIs" dxfId="142" priority="30" operator="equal">
      <formula>"Mayor"</formula>
    </cfRule>
    <cfRule type="cellIs" dxfId="141" priority="31" operator="equal">
      <formula>"Moderado"</formula>
    </cfRule>
    <cfRule type="cellIs" dxfId="140" priority="32" operator="equal">
      <formula>"Menor"</formula>
    </cfRule>
    <cfRule type="cellIs" dxfId="139" priority="33" operator="equal">
      <formula>"Leve"</formula>
    </cfRule>
  </conditionalFormatting>
  <conditionalFormatting sqref="M58:M63">
    <cfRule type="containsText" dxfId="138" priority="25" operator="containsText" text="Extremo">
      <formula>NOT(ISERROR(SEARCH("Extremo",M58)))</formula>
    </cfRule>
    <cfRule type="containsText" dxfId="137" priority="26" operator="containsText" text="Alto">
      <formula>NOT(ISERROR(SEARCH("Alto",M58)))</formula>
    </cfRule>
    <cfRule type="containsText" dxfId="136" priority="27" operator="containsText" text="Moderado">
      <formula>NOT(ISERROR(SEARCH("Moderado",M58)))</formula>
    </cfRule>
    <cfRule type="containsText" dxfId="135" priority="28" operator="containsText" text="Bajo">
      <formula>NOT(ISERROR(SEARCH("Bajo",M58)))</formula>
    </cfRule>
  </conditionalFormatting>
  <conditionalFormatting sqref="Z58:Z63">
    <cfRule type="cellIs" dxfId="134" priority="20" operator="equal">
      <formula>"Muy Alta"</formula>
    </cfRule>
    <cfRule type="cellIs" dxfId="133" priority="21" operator="equal">
      <formula>"Alta"</formula>
    </cfRule>
    <cfRule type="cellIs" dxfId="132" priority="22" operator="equal">
      <formula>"Media"</formula>
    </cfRule>
    <cfRule type="cellIs" dxfId="131" priority="23" operator="equal">
      <formula>"Baja"</formula>
    </cfRule>
    <cfRule type="cellIs" dxfId="130" priority="24" operator="equal">
      <formula>"Muy Baja"</formula>
    </cfRule>
  </conditionalFormatting>
  <conditionalFormatting sqref="H58:H63">
    <cfRule type="cellIs" dxfId="129" priority="15" operator="equal">
      <formula>"Muy Alta"</formula>
    </cfRule>
    <cfRule type="cellIs" dxfId="128" priority="16" operator="equal">
      <formula>"Alta"</formula>
    </cfRule>
    <cfRule type="cellIs" dxfId="127" priority="17" operator="equal">
      <formula>"Media"</formula>
    </cfRule>
    <cfRule type="cellIs" dxfId="126" priority="18" operator="equal">
      <formula>"Baja"</formula>
    </cfRule>
    <cfRule type="cellIs" dxfId="125" priority="19" operator="equal">
      <formula>"Muy Baja"</formula>
    </cfRule>
  </conditionalFormatting>
  <conditionalFormatting sqref="K58:K63">
    <cfRule type="cellIs" dxfId="124" priority="10" operator="equal">
      <formula>"Mayor"</formula>
    </cfRule>
    <cfRule type="cellIs" dxfId="123" priority="11" operator="equal">
      <formula>"Moderado"</formula>
    </cfRule>
    <cfRule type="cellIs" dxfId="122" priority="12" operator="equal">
      <formula>"Menor"</formula>
    </cfRule>
    <cfRule type="cellIs" dxfId="121" priority="13" operator="equal">
      <formula>"Leve"</formula>
    </cfRule>
    <cfRule type="cellIs" dxfId="120" priority="14" operator="equal">
      <formula>"Catastrófico"</formula>
    </cfRule>
  </conditionalFormatting>
  <conditionalFormatting sqref="AE58:AE63">
    <cfRule type="cellIs" dxfId="119" priority="6" operator="equal">
      <formula>"Extremo"</formula>
    </cfRule>
    <cfRule type="cellIs" dxfId="118" priority="7" operator="equal">
      <formula>"Alto"</formula>
    </cfRule>
    <cfRule type="cellIs" dxfId="117" priority="8" operator="equal">
      <formula>"Moderado"</formula>
    </cfRule>
    <cfRule type="cellIs" dxfId="116" priority="9" operator="equal">
      <formula>"Bajo"</formula>
    </cfRule>
  </conditionalFormatting>
  <conditionalFormatting sqref="AD58:AD63">
    <cfRule type="cellIs" dxfId="115" priority="1" operator="equal">
      <formula>"Catastrófico"</formula>
    </cfRule>
    <cfRule type="cellIs" dxfId="114" priority="2" operator="equal">
      <formula>"Mayor"</formula>
    </cfRule>
    <cfRule type="cellIs" dxfId="113" priority="3" operator="equal">
      <formula>"Moderado"</formula>
    </cfRule>
    <cfRule type="cellIs" dxfId="112" priority="4" operator="equal">
      <formula>"Menor"</formula>
    </cfRule>
    <cfRule type="cellIs" dxfId="111" priority="5" operator="equal">
      <formula>"Leve"</formula>
    </cfRule>
  </conditionalFormatting>
  <dataValidations count="21">
    <dataValidation type="list" allowBlank="1" showInputMessage="1" showErrorMessage="1" sqref="T34:T57">
      <formula1>$FU$2:$FU$3</formula1>
    </dataValidation>
    <dataValidation type="list" allowBlank="1" showInputMessage="1" showErrorMessage="1" sqref="U34:U57">
      <formula1>$FV$2:$FV$3</formula1>
    </dataValidation>
    <dataValidation type="list" allowBlank="1" showInputMessage="1" showErrorMessage="1" sqref="V34:V57 P58:P63">
      <formula1>$FW$2:$FW$3</formula1>
    </dataValidation>
    <dataValidation type="list" allowBlank="1" showInputMessage="1" showErrorMessage="1" sqref="E34">
      <formula1>$FP$2:$FP$9</formula1>
    </dataValidation>
    <dataValidation type="list" allowBlank="1" showInputMessage="1" showErrorMessage="1" sqref="P34:P57">
      <formula1>$FR$2:$FR$3</formula1>
    </dataValidation>
    <dataValidation type="list" allowBlank="1" showInputMessage="1" showErrorMessage="1" sqref="Q34:Q57">
      <formula1>$FS$2:$FS$4</formula1>
    </dataValidation>
    <dataValidation type="list" allowBlank="1" showInputMessage="1" showErrorMessage="1" sqref="R34:R57">
      <formula1>$FT$2:$FT$3</formula1>
    </dataValidation>
    <dataValidation type="list" allowBlank="1" showInputMessage="1" showErrorMessage="1" sqref="D34 D52:D57">
      <formula1>$FO$2:$FO$4</formula1>
    </dataValidation>
    <dataValidation type="list" allowBlank="1" showInputMessage="1" showErrorMessage="1" sqref="J34 J40 J46 J52">
      <formula1>$FQ$2:$FQ$18</formula1>
    </dataValidation>
    <dataValidation type="list" allowBlank="1" showInputMessage="1" showErrorMessage="1" sqref="AH34 AF40 AF46:AG46 AF52">
      <formula1>$FX$2:$FX$5</formula1>
    </dataValidation>
    <dataValidation type="list" allowBlank="1" showInputMessage="1" showErrorMessage="1" sqref="AL40:AL41 AL46 R58:R63">
      <formula1>$FY$2:$FY$3</formula1>
    </dataValidation>
    <dataValidation type="list" allowBlank="1" showInputMessage="1" showErrorMessage="1" sqref="E40:E57">
      <formula1>$FP$2:$FP$10</formula1>
    </dataValidation>
    <dataValidation type="list" allowBlank="1" showInputMessage="1" showErrorMessage="1" sqref="AL58">
      <formula1>$GD$2:$GD$3</formula1>
    </dataValidation>
    <dataValidation type="list" allowBlank="1" showInputMessage="1" showErrorMessage="1" sqref="D58:D63">
      <formula1>$FT$2:$FT$4</formula1>
    </dataValidation>
    <dataValidation type="list" allowBlank="1" showInputMessage="1" showErrorMessage="1" sqref="E58:E63">
      <formula1>$FU$2:$FU$10</formula1>
    </dataValidation>
    <dataValidation type="list" allowBlank="1" showInputMessage="1" showErrorMessage="1" sqref="V58:V63">
      <formula1>$GB$2:$GB$3</formula1>
    </dataValidation>
    <dataValidation type="list" allowBlank="1" showInputMessage="1" showErrorMessage="1" sqref="U58:U63">
      <formula1>$GA$2:$GA$3</formula1>
    </dataValidation>
    <dataValidation type="list" allowBlank="1" showInputMessage="1" showErrorMessage="1" sqref="T58:T63">
      <formula1>$FZ$2:$FZ$3</formula1>
    </dataValidation>
    <dataValidation type="list" allowBlank="1" showInputMessage="1" showErrorMessage="1" sqref="Q58:Q63">
      <formula1>$FX$2:$FX$4</formula1>
    </dataValidation>
    <dataValidation type="list" allowBlank="1" showInputMessage="1" showErrorMessage="1" sqref="AF58">
      <formula1>$GC$2:$GC$5</formula1>
    </dataValidation>
    <dataValidation type="list" allowBlank="1" showInputMessage="1" showErrorMessage="1" sqref="J58">
      <formula1>$FV$2:$FV$18</formula1>
    </dataValidation>
  </dataValidations>
  <pageMargins left="0.7" right="0.7" top="0.75" bottom="0.75" header="0.3" footer="0.3"/>
  <pageSetup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103" operator="containsText" id="{CD02C67F-261F-420F-8F2C-9BCF4F5E3741}">
            <xm:f>NOT(ISERROR(SEARCH("falso",Z10)))</xm:f>
            <xm:f>"falso"</xm:f>
            <x14:dxf>
              <fill>
                <patternFill>
                  <fgColor theme="0"/>
                </patternFill>
              </fill>
            </x14:dxf>
          </x14:cfRule>
          <xm:sqref>Z10:AA15</xm:sqref>
        </x14:conditionalFormatting>
        <x14:conditionalFormatting xmlns:xm="http://schemas.microsoft.com/office/excel/2006/main">
          <x14:cfRule type="containsText" priority="2082" operator="containsText" id="{071A35D7-6AC8-4E1A-ACB9-8F5A101E533D}">
            <xm:f>NOT(ISERROR(SEARCH("falso",Z16)))</xm:f>
            <xm:f>"falso"</xm:f>
            <x14:dxf>
              <fill>
                <patternFill>
                  <fgColor theme="0"/>
                </patternFill>
              </fill>
            </x14:dxf>
          </x14:cfRule>
          <xm:sqref>Z16:AA21</xm:sqref>
        </x14:conditionalFormatting>
        <x14:conditionalFormatting xmlns:xm="http://schemas.microsoft.com/office/excel/2006/main">
          <x14:cfRule type="containsText" priority="2038" operator="containsText" id="{9D1A5DDA-211C-44FF-99CA-95F948A67B04}">
            <xm:f>NOT(ISERROR(SEARCH("falso",Z22)))</xm:f>
            <xm:f>"falso"</xm:f>
            <x14:dxf>
              <fill>
                <patternFill>
                  <fgColor theme="0"/>
                </patternFill>
              </fill>
            </x14:dxf>
          </x14:cfRule>
          <xm:sqref>Z22:AA27</xm:sqref>
        </x14:conditionalFormatting>
        <x14:conditionalFormatting xmlns:xm="http://schemas.microsoft.com/office/excel/2006/main">
          <x14:cfRule type="containsText" priority="230" operator="containsText" id="{E4D5A4D5-6E66-4E4E-9A67-E7BF98876D49}">
            <xm:f>NOT(ISERROR(SEARCH("falso",Z28)))</xm:f>
            <xm:f>"falso"</xm:f>
            <x14:dxf>
              <fill>
                <patternFill>
                  <fgColor theme="0"/>
                </patternFill>
              </fill>
            </x14:dxf>
          </x14:cfRule>
          <xm:sqref>Z28:AA33</xm:sqref>
        </x14:conditionalFormatting>
        <x14:conditionalFormatting xmlns:xm="http://schemas.microsoft.com/office/excel/2006/main">
          <x14:cfRule type="containsText" priority="144" operator="containsText" id="{A0D89BEA-7465-41C8-A1B6-579CCBB44881}">
            <xm:f>NOT(ISERROR(SEARCH("falso",Z34)))</xm:f>
            <xm:f>"falso"</xm:f>
            <x14:dxf>
              <fill>
                <patternFill>
                  <fgColor theme="0"/>
                </patternFill>
              </fill>
            </x14:dxf>
          </x14:cfRule>
          <xm:sqref>Z35:AA39 AA34</xm:sqref>
        </x14:conditionalFormatting>
        <x14:conditionalFormatting xmlns:xm="http://schemas.microsoft.com/office/excel/2006/main">
          <x14:cfRule type="containsText" priority="118" operator="containsText" id="{C5BDCE84-FFD5-46EA-9ED7-AF10B4CFE38D}">
            <xm:f>NOT(ISERROR(SEARCH("falso",Z34)))</xm:f>
            <xm:f>"falso"</xm:f>
            <x14:dxf>
              <fill>
                <patternFill>
                  <fgColor theme="0"/>
                </patternFill>
              </fill>
            </x14:dxf>
          </x14:cfRule>
          <xm:sqref>Z34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[24]DESPLEGABLES!#REF!</xm:f>
          </x14:formula1>
          <xm:sqref>AH16 AH22 T16:V27 Q16:R27 J16:J27 D16:E27 AN16:AN21</xm:sqref>
        </x14:dataValidation>
        <x14:dataValidation type="list" allowBlank="1" showInputMessage="1" showErrorMessage="1">
          <x14:formula1>
            <xm:f>[23]DESPLEGABLES!#REF!</xm:f>
          </x14:formula1>
          <xm:sqref>AH10 J10:J15 Q10:R15 T10:V15 D10:E15 AN10:AN15</xm:sqref>
        </x14:dataValidation>
        <x14:dataValidation type="list" allowBlank="1" showInputMessage="1" showErrorMessage="1">
          <x14:formula1>
            <xm:f>[25]DESPLEGABLES!#REF!</xm:f>
          </x14:formula1>
          <xm:sqref>D28:E33 J28:J33 Q28:R33 T28:V33 AH28 AN28:AN33</xm:sqref>
        </x14:dataValidation>
        <x14:dataValidation type="list" allowBlank="1" showInputMessage="1" showErrorMessage="1">
          <x14:formula1>
            <xm:f>[17]DESPLEGABLES!#REF!</xm:f>
          </x14:formula1>
          <xm:sqref>AN34:AN39</xm:sqref>
        </x14:dataValidation>
        <x14:dataValidation type="list" allowBlank="1" showInputMessage="1" showErrorMessage="1">
          <x14:formula1>
            <xm:f>[14]DESPLEGABLES!#REF!</xm:f>
          </x14:formula1>
          <xm:sqref>D40:D51</xm:sqref>
        </x14:dataValidation>
        <x14:dataValidation type="list" allowBlank="1" showInputMessage="1" showErrorMessage="1">
          <x14:formula1>
            <xm:f>[13]DESPLEGABLES!#REF!</xm:f>
          </x14:formula1>
          <xm:sqref>AL52:AL53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B21"/>
  <sheetViews>
    <sheetView zoomScale="60" zoomScaleNormal="60" workbookViewId="0">
      <selection activeCell="E23" sqref="E23"/>
    </sheetView>
  </sheetViews>
  <sheetFormatPr baseColWidth="10" defaultRowHeight="15" x14ac:dyDescent="0.25"/>
  <cols>
    <col min="1" max="1" width="8" style="3" customWidth="1"/>
    <col min="2" max="2" width="30.42578125" style="24" customWidth="1"/>
    <col min="3" max="3" width="15.28515625" style="3" customWidth="1"/>
    <col min="4" max="5" width="25" style="3" customWidth="1"/>
    <col min="6" max="6" width="20.140625" style="3" customWidth="1"/>
    <col min="7" max="7" width="12.5703125" style="3" customWidth="1"/>
    <col min="8" max="8" width="11.42578125" style="3"/>
    <col min="9" max="9" width="33.7109375" style="3" customWidth="1"/>
    <col min="10" max="13" width="11.42578125" style="3"/>
    <col min="14" max="14" width="24.85546875" style="3" customWidth="1"/>
    <col min="15" max="30" width="11.42578125" style="3"/>
    <col min="31" max="31" width="35.5703125" style="3" customWidth="1"/>
    <col min="32" max="37" width="11.42578125" style="3"/>
    <col min="38" max="38" width="11.42578125" style="3" customWidth="1"/>
    <col min="39" max="40" width="11.42578125" style="3"/>
    <col min="41" max="43" width="13.42578125" style="3" customWidth="1"/>
    <col min="44" max="52" width="11.42578125" style="3"/>
    <col min="53" max="53" width="14.28515625" style="3" bestFit="1" customWidth="1"/>
    <col min="54" max="16384" width="11.42578125" style="3"/>
  </cols>
  <sheetData>
    <row r="1" spans="1:54" ht="29.25" customHeight="1" x14ac:dyDescent="0.25">
      <c r="A1" s="373" t="s">
        <v>203</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4"/>
      <c r="AV1" s="374"/>
      <c r="AW1" s="374"/>
      <c r="AX1" s="374"/>
      <c r="AY1" s="374"/>
      <c r="AZ1" s="375"/>
      <c r="BA1" s="1" t="s">
        <v>0</v>
      </c>
      <c r="BB1" s="2" t="s">
        <v>1</v>
      </c>
    </row>
    <row r="2" spans="1:54" ht="29.25" customHeight="1" x14ac:dyDescent="0.25">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76"/>
      <c r="BA2" s="4" t="s">
        <v>2</v>
      </c>
      <c r="BB2" s="5">
        <v>6</v>
      </c>
    </row>
    <row r="3" spans="1:54" ht="16.5" customHeight="1" x14ac:dyDescent="0.25">
      <c r="A3" s="328"/>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76"/>
      <c r="BA3" s="6" t="s">
        <v>3</v>
      </c>
      <c r="BB3" s="7"/>
    </row>
    <row r="4" spans="1:54" ht="16.5" customHeight="1" x14ac:dyDescent="0.25">
      <c r="A4" s="377" t="s">
        <v>4</v>
      </c>
      <c r="B4" s="378"/>
      <c r="C4" s="378"/>
      <c r="D4" s="378"/>
      <c r="E4" s="378"/>
      <c r="F4" s="379"/>
      <c r="G4" s="372" t="s">
        <v>5</v>
      </c>
      <c r="H4" s="372"/>
      <c r="I4" s="372"/>
      <c r="J4" s="372"/>
      <c r="K4" s="372"/>
      <c r="L4" s="372"/>
      <c r="M4" s="372" t="s">
        <v>6</v>
      </c>
      <c r="N4" s="372"/>
      <c r="O4" s="372"/>
      <c r="P4" s="372"/>
      <c r="Q4" s="372"/>
      <c r="R4" s="372"/>
      <c r="S4" s="372"/>
      <c r="T4" s="372"/>
      <c r="U4" s="372"/>
      <c r="V4" s="372"/>
      <c r="W4" s="372"/>
      <c r="X4" s="372"/>
      <c r="Y4" s="372"/>
      <c r="Z4" s="372"/>
      <c r="AA4" s="372"/>
      <c r="AB4" s="372"/>
      <c r="AC4" s="372"/>
      <c r="AD4" s="372"/>
      <c r="AE4" s="8" t="s">
        <v>7</v>
      </c>
      <c r="AF4" s="380" t="s">
        <v>8</v>
      </c>
      <c r="AG4" s="380"/>
      <c r="AH4" s="371" t="s">
        <v>9</v>
      </c>
      <c r="AI4" s="371" t="s">
        <v>10</v>
      </c>
      <c r="AJ4" s="371"/>
      <c r="AK4" s="371" t="s">
        <v>11</v>
      </c>
      <c r="AL4" s="371" t="s">
        <v>12</v>
      </c>
      <c r="AM4" s="371" t="s">
        <v>13</v>
      </c>
      <c r="AN4" s="371" t="s">
        <v>14</v>
      </c>
      <c r="AO4" s="371" t="s">
        <v>15</v>
      </c>
      <c r="AP4" s="371" t="s">
        <v>12</v>
      </c>
      <c r="AQ4" s="371" t="s">
        <v>16</v>
      </c>
      <c r="AR4" s="371" t="s">
        <v>17</v>
      </c>
      <c r="AS4" s="371" t="s">
        <v>18</v>
      </c>
      <c r="AT4" s="9"/>
      <c r="AU4" s="333" t="s">
        <v>19</v>
      </c>
      <c r="AV4" s="333"/>
      <c r="AW4" s="333"/>
      <c r="AX4" s="333"/>
      <c r="AY4" s="333"/>
      <c r="AZ4" s="334"/>
      <c r="BA4" s="361" t="s">
        <v>20</v>
      </c>
      <c r="BB4" s="362" t="s">
        <v>21</v>
      </c>
    </row>
    <row r="5" spans="1:54" s="10" customFormat="1" ht="33.75" customHeight="1" x14ac:dyDescent="0.2">
      <c r="A5" s="364" t="s">
        <v>22</v>
      </c>
      <c r="B5" s="366" t="s">
        <v>23</v>
      </c>
      <c r="C5" s="368" t="s">
        <v>24</v>
      </c>
      <c r="D5" s="368" t="s">
        <v>25</v>
      </c>
      <c r="E5" s="368" t="s">
        <v>26</v>
      </c>
      <c r="F5" s="370" t="s">
        <v>27</v>
      </c>
      <c r="G5" s="370" t="s">
        <v>28</v>
      </c>
      <c r="H5" s="372" t="s">
        <v>29</v>
      </c>
      <c r="I5" s="370" t="s">
        <v>30</v>
      </c>
      <c r="J5" s="370" t="s">
        <v>31</v>
      </c>
      <c r="K5" s="372" t="s">
        <v>29</v>
      </c>
      <c r="L5" s="370" t="s">
        <v>32</v>
      </c>
      <c r="M5" s="360" t="s">
        <v>33</v>
      </c>
      <c r="N5" s="370" t="s">
        <v>34</v>
      </c>
      <c r="O5" s="359" t="s">
        <v>35</v>
      </c>
      <c r="P5" s="359"/>
      <c r="Q5" s="359" t="s">
        <v>36</v>
      </c>
      <c r="R5" s="359"/>
      <c r="S5" s="359" t="s">
        <v>37</v>
      </c>
      <c r="T5" s="359"/>
      <c r="U5" s="359" t="s">
        <v>38</v>
      </c>
      <c r="V5" s="359"/>
      <c r="W5" s="359" t="s">
        <v>39</v>
      </c>
      <c r="X5" s="359"/>
      <c r="Y5" s="359" t="s">
        <v>40</v>
      </c>
      <c r="Z5" s="359"/>
      <c r="AA5" s="359" t="s">
        <v>41</v>
      </c>
      <c r="AB5" s="359"/>
      <c r="AC5" s="382" t="s">
        <v>42</v>
      </c>
      <c r="AD5" s="382" t="s">
        <v>43</v>
      </c>
      <c r="AE5" s="359" t="s">
        <v>44</v>
      </c>
      <c r="AF5" s="380"/>
      <c r="AG5" s="380"/>
      <c r="AH5" s="371"/>
      <c r="AI5" s="371"/>
      <c r="AJ5" s="371"/>
      <c r="AK5" s="371"/>
      <c r="AL5" s="371"/>
      <c r="AM5" s="371"/>
      <c r="AN5" s="371"/>
      <c r="AO5" s="371"/>
      <c r="AP5" s="371"/>
      <c r="AQ5" s="371"/>
      <c r="AR5" s="371"/>
      <c r="AS5" s="371"/>
      <c r="AT5" s="360" t="s">
        <v>45</v>
      </c>
      <c r="AU5" s="381" t="s">
        <v>19</v>
      </c>
      <c r="AV5" s="318" t="s">
        <v>46</v>
      </c>
      <c r="AW5" s="318" t="s">
        <v>47</v>
      </c>
      <c r="AX5" s="318" t="s">
        <v>48</v>
      </c>
      <c r="AY5" s="318" t="s">
        <v>49</v>
      </c>
      <c r="AZ5" s="318" t="s">
        <v>50</v>
      </c>
      <c r="BA5" s="315"/>
      <c r="BB5" s="311"/>
    </row>
    <row r="6" spans="1:54" ht="46.5" customHeight="1" x14ac:dyDescent="0.25">
      <c r="A6" s="365"/>
      <c r="B6" s="367"/>
      <c r="C6" s="369"/>
      <c r="D6" s="369"/>
      <c r="E6" s="369"/>
      <c r="F6" s="370"/>
      <c r="G6" s="370"/>
      <c r="H6" s="372"/>
      <c r="I6" s="370"/>
      <c r="J6" s="372"/>
      <c r="K6" s="372"/>
      <c r="L6" s="370"/>
      <c r="M6" s="360"/>
      <c r="N6" s="370"/>
      <c r="O6" s="11" t="s">
        <v>51</v>
      </c>
      <c r="P6" s="11" t="s">
        <v>52</v>
      </c>
      <c r="Q6" s="11" t="s">
        <v>53</v>
      </c>
      <c r="R6" s="11" t="s">
        <v>52</v>
      </c>
      <c r="S6" s="11" t="s">
        <v>54</v>
      </c>
      <c r="T6" s="11" t="s">
        <v>52</v>
      </c>
      <c r="U6" s="11" t="s">
        <v>55</v>
      </c>
      <c r="V6" s="11" t="s">
        <v>52</v>
      </c>
      <c r="W6" s="11" t="s">
        <v>56</v>
      </c>
      <c r="X6" s="11" t="s">
        <v>52</v>
      </c>
      <c r="Y6" s="11" t="s">
        <v>57</v>
      </c>
      <c r="Z6" s="11" t="s">
        <v>52</v>
      </c>
      <c r="AA6" s="11" t="s">
        <v>58</v>
      </c>
      <c r="AB6" s="11" t="s">
        <v>52</v>
      </c>
      <c r="AC6" s="382"/>
      <c r="AD6" s="382"/>
      <c r="AE6" s="359"/>
      <c r="AF6" s="12" t="s">
        <v>59</v>
      </c>
      <c r="AG6" s="12" t="s">
        <v>60</v>
      </c>
      <c r="AH6" s="371"/>
      <c r="AI6" s="13" t="s">
        <v>60</v>
      </c>
      <c r="AJ6" s="13" t="s">
        <v>59</v>
      </c>
      <c r="AK6" s="371"/>
      <c r="AL6" s="371"/>
      <c r="AM6" s="371"/>
      <c r="AN6" s="371"/>
      <c r="AO6" s="371"/>
      <c r="AP6" s="371"/>
      <c r="AQ6" s="371"/>
      <c r="AR6" s="371"/>
      <c r="AS6" s="371"/>
      <c r="AT6" s="360"/>
      <c r="AU6" s="381"/>
      <c r="AV6" s="318"/>
      <c r="AW6" s="318"/>
      <c r="AX6" s="318"/>
      <c r="AY6" s="318"/>
      <c r="AZ6" s="318"/>
      <c r="BA6" s="316"/>
      <c r="BB6" s="363"/>
    </row>
    <row r="7" spans="1:54" s="26" customFormat="1" ht="24" customHeight="1" thickBot="1" x14ac:dyDescent="0.3">
      <c r="A7" s="354" t="s">
        <v>87</v>
      </c>
      <c r="B7" s="355" t="s">
        <v>88</v>
      </c>
      <c r="C7" s="271" t="s">
        <v>61</v>
      </c>
      <c r="D7" s="350" t="s">
        <v>62</v>
      </c>
      <c r="E7" s="271" t="s">
        <v>63</v>
      </c>
      <c r="F7" s="271" t="s">
        <v>64</v>
      </c>
      <c r="G7" s="338" t="str">
        <f>IF(AND(F7=[26]calificación_impacto_corrupción!$B$2),[26]calificación_impacto_corrupción!$A$2,IF(AND(F7=[26]calificación_impacto_corrupción!$B$3),[26]calificación_impacto_corrupción!$A$3,IF(AND(F7=[26]calificación_impacto_corrupción!$B$4),[26]calificación_impacto_corrupción!$A$4,IF(AND(F7=[26]calificación_impacto_corrupción!$B$5),[26]calificación_impacto_corrupción!$A$5,IF(AND(F7=[26]calificación_impacto_corrupción!$B$6),[26]calificación_impacto_corrupción!$A$6,FALSE)))))</f>
        <v>Rara vez</v>
      </c>
      <c r="H7" s="338" t="str">
        <f>IF(AND(F7=[26]calificación_impacto_corrupción!$B$6),"20%",IF(AND(F7=[26]calificación_impacto_corrupción!$B$5),"40%",IF(AND(F7=[26]calificación_impacto_corrupción!$B$4),"60%",IF(AND(F7=[26]calificación_impacto_corrupción!$B$3),"80%",IF(AND(F7=[26]calificación_impacto_corrupción!$B$2),"100%",FALSE)))))</f>
        <v>20%</v>
      </c>
      <c r="I7" s="345" t="s">
        <v>65</v>
      </c>
      <c r="J7" s="338" t="str">
        <f>IF(AND(I7=[26]DESPLEGABLES!$A$19),"Leve",IF(AND(I7=[26]DESPLEGABLES!$A$20),"Menor",IF(AND(I7=[26]DESPLEGABLES!$A$21),"Moderado",IF(AND(I7=[26]DESPLEGABLES!$A$22),"Mayor",IF(AND(I7=[26]DESPLEGABLES!$A$23),"Catastrófico",IF(AND(I7=[26]DESPLEGABLES!$A$25),"Leve",IF(AND(I7=[26]DESPLEGABLES!$A$26),"Menor",IF(AND(I7=[26]DESPLEGABLES!$A$27),"Moderado",IF(AND(I7=[26]DESPLEGABLES!$A$28),"Mayor",IF(AND(I7=[26]DESPLEGABLES!$A$29),"Catastrófico",IF(AND(I7=[26]DESPLEGABLES!$A$31),"Moderado",IF(AND(I7=[26]DESPLEGABLES!$A$32),"Mayor",IF(AND(I7=[26]DESPLEGABLES!$A$33),"Catastrófico","")))))))))))))</f>
        <v>Catastrófico</v>
      </c>
      <c r="K7" s="338" t="str">
        <f>IF(AND(J7="Leve"),"20%",IF(AND(J7="Menor"),"40%",IF(AND(J7="Moderado"),"60%",IF(AND(J7="Mayor"),"80%",IF(AND(J7="Catastrófico"),"100%","")))))</f>
        <v>100%</v>
      </c>
      <c r="L7" s="338" t="str">
        <f>IF(AND(H7&lt;="40%",K7="20%"),"Bajo",IF(AND(H7="60%",K7="20%"),"Moderado",IF(AND(H7="80%",K7="20%"),"Moderado",IF(AND(H7="100%",K7="20%"),"Alto",IF(AND(H7="20%",K7="40%"),"Bajo",IF(AND(H7="40%",K7="40%"),"Moderado",IF(AND(H7="60%",K7="40%"),"Moderado",IF(AND(H7="80%",K7="40%"),"Moderado",IF(AND(H7="100%",K7="40%"),"Alto",IF(AND(H7="20%",K7="60%"),"Moderado",IF(AND(H7="40%",K7="60%"),"Moderado",IF(AND(H7="60%",K7="60%"),"Moderado",IF(AND(H7="80%",K7="60%"),"Alto",IF(AND(H7="100%",K7="60%"),"Alto",IF(AND(H7="20%",K7="80%"),"Alto",IF(AND(H7="40%",K7="80%"),"Alto",IF(AND(H7="60%",K7="80%"),"Alto",IF(AND(H7="80%",K7="80%"),"Alto",IF(AND(H7="100%",K7="80%"),"Alto",IF(AND(H7="20%",K7="100%"),"Extremo",IF(AND(H7="40%",K7="100%"),"Extremo",IF(AND(H7="60%",K7="100%"),"Extremo",IF(AND(H7="80%",K7="100%"),"Moderado",IF(AND(H7="100%",K7="100%"),"Extremo",""))))))))))))))))))))))))</f>
        <v>Extremo</v>
      </c>
      <c r="M7" s="14">
        <v>1</v>
      </c>
      <c r="N7" s="15" t="s">
        <v>66</v>
      </c>
      <c r="O7" s="16" t="s">
        <v>67</v>
      </c>
      <c r="P7" s="17">
        <f>IF(O7="Asignado",15,IF(O7="NO asignado",0))</f>
        <v>15</v>
      </c>
      <c r="Q7" s="18" t="s">
        <v>68</v>
      </c>
      <c r="R7" s="17">
        <f>IF(Q7="Adecuado",15,IF(Q7="Inadecuado",0))</f>
        <v>15</v>
      </c>
      <c r="S7" s="18" t="s">
        <v>69</v>
      </c>
      <c r="T7" s="17">
        <f>IF(S7="Oportuna",15,IF(S7="Inoportuna",0))</f>
        <v>15</v>
      </c>
      <c r="U7" s="18" t="s">
        <v>70</v>
      </c>
      <c r="V7" s="17">
        <f>IF(U7="Prevenir",15,IF(U7="Detectar",10,IF(U7="No es un control",0)))</f>
        <v>15</v>
      </c>
      <c r="W7" s="18" t="s">
        <v>71</v>
      </c>
      <c r="X7" s="17">
        <f>IF(W7="Confiable",15,IF(W7="No confiable",0))</f>
        <v>15</v>
      </c>
      <c r="Y7" s="18" t="s">
        <v>72</v>
      </c>
      <c r="Z7" s="17">
        <f>IF(Y7="Se investigan oportunamente",15,IF(Y7="No se investigan oportunamente",0))</f>
        <v>15</v>
      </c>
      <c r="AA7" s="18" t="s">
        <v>73</v>
      </c>
      <c r="AB7" s="17">
        <f>IF(AA7="Completa",10,IF(AA7="Incompleta",5,IF(AA7="No existe",0)))</f>
        <v>0</v>
      </c>
      <c r="AC7" s="19">
        <f>P7+R7+T7+V7+X7+Z7+AB7</f>
        <v>90</v>
      </c>
      <c r="AD7" s="19" t="str">
        <f>IF(AC7&lt;86,"Débil",(IF(AC7&lt;96,"Moderado","Fuerte")))</f>
        <v>Moderado</v>
      </c>
      <c r="AE7" s="19" t="s">
        <v>74</v>
      </c>
      <c r="AF7" s="20" t="str">
        <f>IF(OR(AND(AD7="Fuerte",AE7="Moderado"),AND(AD7="Moderado",AE7="Fuerte"),AND(AD7="Moderado",AE7="Moderado")),"Moderado",IF(OR(AND(AD7="Fuerte",AE7="Débil"),AND(AD7="Moderado",AE7="Débil"),AND(AD7="Débil")),"Débil",IF(AND(AD7="Fuerte",AE7="Fuerte"),"Fuerte")))</f>
        <v>Moderado</v>
      </c>
      <c r="AG7" s="20" t="str">
        <f>IF(AF7="Fuerte","100",IF(AF7="Moderado","50",IF(AF7="Débil","0")))</f>
        <v>50</v>
      </c>
      <c r="AH7" s="343">
        <v>4</v>
      </c>
      <c r="AI7" s="340">
        <f>(AG7+AG8+AG9+AG10+AG11)/AH7</f>
        <v>50</v>
      </c>
      <c r="AJ7" s="340" t="str">
        <f>IF(AI7&lt;50,"Débil",IF(AI7&lt;=99,"Moderado",IF(AI7=100,"Fuerte",IF(AI7="","ERROR"))))</f>
        <v>Moderado</v>
      </c>
      <c r="AK7" s="340" t="s">
        <v>75</v>
      </c>
      <c r="AL7" s="344">
        <f>IF(AJ7="Débil",0,IF(AND(AJ7="Moderado",AK7="Directamente"),20%,IF(AND(AJ7="Moderado",AK7="No disminuye"),0,IF(AND(AJ7="Fuerte",AK7="Directamente"),40%,IF(AND(AJ7="Fuerte",AK7="No disminuye"),0)))))</f>
        <v>0.2</v>
      </c>
      <c r="AM7" s="341">
        <f>H7-AL7</f>
        <v>0</v>
      </c>
      <c r="AN7" s="338" t="str">
        <f>IF(AM7=100%,"Casi Seguro",IF(AM7=80,"Probable",IF(AM7=60%,"Posible",IF(AM7=40%,"Improbable",IF(AM7=20%,"Rara Vez",IF(AM7=0,"Rara Vez",IF(AM7&lt;0,"Rara Vez")))))))</f>
        <v>Rara Vez</v>
      </c>
      <c r="AO7" s="339" t="s">
        <v>76</v>
      </c>
      <c r="AP7" s="358">
        <f>IF(AJ7="Débil",0,IF(AND(AJ7="Moderado",AO7="Directamente"),20%,IF(AND(AJ7="Moderado",AO7="Indirectamente"),0,IF(AND(AJ7="Moderado",AO7="No disminuye"),0,IF(AND(AJ7="Fuerte",AO7="Directamente"),40%,IF(AND(AJ7="Fuerte",AO7="Indirectamente"),20%,IF(AND(AJ7="Fuerte",AO7="No disminuye"),0)))))))</f>
        <v>0</v>
      </c>
      <c r="AQ7" s="341">
        <f>K7-AP7</f>
        <v>1</v>
      </c>
      <c r="AR7" s="338" t="str">
        <f>IF(AQ7=100%,"Catastrófico",IF(AQ7=80%,"Mayor",IF(AQ7=60%,"Moderado",IF(AQ7&lt;=60%,"Moderado"))))</f>
        <v>Catastrófico</v>
      </c>
      <c r="AS7" s="340" t="str">
        <f>IF(OR(AND(AR7="Moderado",AN7="Rara Vez"),AND(AR7="Moderado",AN7="Improbable")),"Moderado",IF(OR(AND(AR7="Mayor",AN7="Improbable"),AND(AR7="Mayor",AN7="Rara Vez"),AND(AR7="Moderado",AN7="Probable"),AND(AR7="Moderado",AN7="Posible")),"Alto",IF(OR(AND(AR7="Moderado",AN7="Casi Seguro"),AND(AR7="Mayor",AN7="Posible"),AND(AR7="Mayor",AN7="Probable"),AND(AR7="Mayor",AN7="Casi Seguro")),"Extremo",IF(AR7="Catastrófico","Extremo"))))</f>
        <v>Extremo</v>
      </c>
      <c r="AT7" s="336" t="s">
        <v>77</v>
      </c>
      <c r="AU7" s="21" t="s">
        <v>78</v>
      </c>
      <c r="AV7" s="22" t="s">
        <v>79</v>
      </c>
      <c r="AW7" s="23">
        <v>44346</v>
      </c>
      <c r="AX7" s="23">
        <v>44377</v>
      </c>
      <c r="AY7" s="24" t="s">
        <v>80</v>
      </c>
      <c r="AZ7" s="25" t="s">
        <v>81</v>
      </c>
      <c r="BA7" s="337" t="s">
        <v>82</v>
      </c>
      <c r="BB7" s="337" t="s">
        <v>83</v>
      </c>
    </row>
    <row r="8" spans="1:54" s="26" customFormat="1" ht="24" customHeight="1" x14ac:dyDescent="0.25">
      <c r="A8" s="354"/>
      <c r="B8" s="271"/>
      <c r="C8" s="271"/>
      <c r="D8" s="350"/>
      <c r="E8" s="271"/>
      <c r="F8" s="271"/>
      <c r="G8" s="338"/>
      <c r="H8" s="338"/>
      <c r="I8" s="345"/>
      <c r="J8" s="338"/>
      <c r="K8" s="338"/>
      <c r="L8" s="338"/>
      <c r="M8" s="14">
        <v>2</v>
      </c>
      <c r="N8" s="27" t="s">
        <v>84</v>
      </c>
      <c r="O8" s="16" t="s">
        <v>67</v>
      </c>
      <c r="P8" s="17">
        <f t="shared" ref="P8:P11" si="0">IF(O8="Asignado",15,IF(O8="NO asignado",0))</f>
        <v>15</v>
      </c>
      <c r="Q8" s="18" t="s">
        <v>68</v>
      </c>
      <c r="R8" s="17">
        <f t="shared" ref="R8:R11" si="1">IF(Q8="Adecuado",15,IF(Q8="Inadecuado",0))</f>
        <v>15</v>
      </c>
      <c r="S8" s="18" t="s">
        <v>69</v>
      </c>
      <c r="T8" s="17">
        <f t="shared" ref="T8:T11" si="2">IF(S8="Oportuna",15,IF(S8="Inoportuna",0))</f>
        <v>15</v>
      </c>
      <c r="U8" s="18" t="s">
        <v>70</v>
      </c>
      <c r="V8" s="17">
        <f t="shared" ref="V8:V11" si="3">IF(U8="Prevenir",15,IF(U8="Detectar",10,IF(U8="No es un control",0)))</f>
        <v>15</v>
      </c>
      <c r="W8" s="18" t="s">
        <v>71</v>
      </c>
      <c r="X8" s="17">
        <f t="shared" ref="X8:X11" si="4">IF(W8="Confiable",15,IF(W8="No confiable",0))</f>
        <v>15</v>
      </c>
      <c r="Y8" s="18" t="s">
        <v>72</v>
      </c>
      <c r="Z8" s="17">
        <f t="shared" ref="Z8:Z11" si="5">IF(Y8="Se investigan oportunamente",15,IF(Y8="No se investigan oportunamente",0))</f>
        <v>15</v>
      </c>
      <c r="AA8" s="18" t="s">
        <v>73</v>
      </c>
      <c r="AB8" s="17">
        <f t="shared" ref="AB8:AB11" si="6">IF(AA8="Completa",10,IF(AA8="Incompleta",5,IF(AA8="No existe",0)))</f>
        <v>0</v>
      </c>
      <c r="AC8" s="19">
        <f t="shared" ref="AC8:AC11" si="7">P8+R8+T8+V8+X8+Z8+AB8</f>
        <v>90</v>
      </c>
      <c r="AD8" s="19" t="str">
        <f t="shared" ref="AD8:AD11" si="8">IF(AC8&lt;86,"Débil",(IF(AC8&lt;96,"Moderado","Fuerte")))</f>
        <v>Moderado</v>
      </c>
      <c r="AE8" s="19" t="s">
        <v>74</v>
      </c>
      <c r="AF8" s="20" t="str">
        <f t="shared" ref="AF8:AF11" si="9">IF(OR(AND(AD8="Fuerte",AE8="Moderado"),AND(AD8="Moderado",AE8="Fuerte"),AND(AD8="Moderado",AE8="Moderado")),"Moderado",IF(OR(AND(AD8="Fuerte",AE8="Débil"),AND(AD8="Moderado",AE8="Débil"),AND(AD8="Débil")),"Débil",IF(AND(AD8="Fuerte",AE8="Fuerte"),"Fuerte")))</f>
        <v>Moderado</v>
      </c>
      <c r="AG8" s="20" t="str">
        <f t="shared" ref="AG8:AG11" si="10">IF(AF8="Fuerte","100",IF(AF8="Moderado","50",IF(AF8="Débil","0")))</f>
        <v>50</v>
      </c>
      <c r="AH8" s="343"/>
      <c r="AI8" s="340"/>
      <c r="AJ8" s="340"/>
      <c r="AK8" s="340"/>
      <c r="AL8" s="344"/>
      <c r="AM8" s="342"/>
      <c r="AN8" s="338"/>
      <c r="AO8" s="339"/>
      <c r="AP8" s="358"/>
      <c r="AQ8" s="342"/>
      <c r="AR8" s="338"/>
      <c r="AS8" s="340"/>
      <c r="AT8" s="336"/>
      <c r="AU8" s="21"/>
      <c r="AV8" s="25"/>
      <c r="AW8" s="23"/>
      <c r="AX8" s="23"/>
      <c r="AY8" s="22"/>
      <c r="AZ8" s="25"/>
      <c r="BA8" s="286"/>
      <c r="BB8" s="286"/>
    </row>
    <row r="9" spans="1:54" s="26" customFormat="1" ht="24" customHeight="1" x14ac:dyDescent="0.25">
      <c r="A9" s="354"/>
      <c r="B9" s="271"/>
      <c r="C9" s="271"/>
      <c r="D9" s="350"/>
      <c r="E9" s="271"/>
      <c r="F9" s="271"/>
      <c r="G9" s="338"/>
      <c r="H9" s="338"/>
      <c r="I9" s="345"/>
      <c r="J9" s="338"/>
      <c r="K9" s="338"/>
      <c r="L9" s="338"/>
      <c r="M9" s="14">
        <v>3</v>
      </c>
      <c r="N9" s="30" t="s">
        <v>85</v>
      </c>
      <c r="O9" s="16" t="s">
        <v>67</v>
      </c>
      <c r="P9" s="17">
        <f t="shared" si="0"/>
        <v>15</v>
      </c>
      <c r="Q9" s="18" t="s">
        <v>68</v>
      </c>
      <c r="R9" s="17">
        <f t="shared" si="1"/>
        <v>15</v>
      </c>
      <c r="S9" s="18" t="s">
        <v>69</v>
      </c>
      <c r="T9" s="17">
        <f t="shared" si="2"/>
        <v>15</v>
      </c>
      <c r="U9" s="18" t="s">
        <v>70</v>
      </c>
      <c r="V9" s="17">
        <f t="shared" si="3"/>
        <v>15</v>
      </c>
      <c r="W9" s="18" t="s">
        <v>71</v>
      </c>
      <c r="X9" s="17">
        <f t="shared" si="4"/>
        <v>15</v>
      </c>
      <c r="Y9" s="18" t="s">
        <v>72</v>
      </c>
      <c r="Z9" s="17">
        <f t="shared" si="5"/>
        <v>15</v>
      </c>
      <c r="AA9" s="18" t="s">
        <v>73</v>
      </c>
      <c r="AB9" s="17">
        <f t="shared" si="6"/>
        <v>0</v>
      </c>
      <c r="AC9" s="19">
        <f t="shared" si="7"/>
        <v>90</v>
      </c>
      <c r="AD9" s="19" t="str">
        <f t="shared" si="8"/>
        <v>Moderado</v>
      </c>
      <c r="AE9" s="19" t="s">
        <v>74</v>
      </c>
      <c r="AF9" s="20" t="str">
        <f t="shared" si="9"/>
        <v>Moderado</v>
      </c>
      <c r="AG9" s="20" t="str">
        <f t="shared" si="10"/>
        <v>50</v>
      </c>
      <c r="AH9" s="343"/>
      <c r="AI9" s="340"/>
      <c r="AJ9" s="340"/>
      <c r="AK9" s="340"/>
      <c r="AL9" s="344"/>
      <c r="AM9" s="342"/>
      <c r="AN9" s="338"/>
      <c r="AO9" s="339"/>
      <c r="AP9" s="358"/>
      <c r="AQ9" s="342"/>
      <c r="AR9" s="338"/>
      <c r="AS9" s="340"/>
      <c r="AT9" s="336"/>
      <c r="AU9" s="21"/>
      <c r="AV9" s="25"/>
      <c r="AW9" s="23"/>
      <c r="AX9" s="23"/>
      <c r="AY9" s="22"/>
      <c r="AZ9" s="25"/>
      <c r="BA9" s="286"/>
      <c r="BB9" s="286"/>
    </row>
    <row r="10" spans="1:54" s="26" customFormat="1" ht="24" customHeight="1" x14ac:dyDescent="0.25">
      <c r="A10" s="354"/>
      <c r="B10" s="271"/>
      <c r="C10" s="271"/>
      <c r="D10" s="350"/>
      <c r="E10" s="271"/>
      <c r="F10" s="271"/>
      <c r="G10" s="338"/>
      <c r="H10" s="338"/>
      <c r="I10" s="345"/>
      <c r="J10" s="338"/>
      <c r="K10" s="338"/>
      <c r="L10" s="338"/>
      <c r="M10" s="14">
        <v>4</v>
      </c>
      <c r="N10" s="31" t="s">
        <v>86</v>
      </c>
      <c r="O10" s="16" t="s">
        <v>67</v>
      </c>
      <c r="P10" s="17">
        <f t="shared" si="0"/>
        <v>15</v>
      </c>
      <c r="Q10" s="18" t="s">
        <v>68</v>
      </c>
      <c r="R10" s="17">
        <f t="shared" si="1"/>
        <v>15</v>
      </c>
      <c r="S10" s="18" t="s">
        <v>69</v>
      </c>
      <c r="T10" s="17">
        <f t="shared" si="2"/>
        <v>15</v>
      </c>
      <c r="U10" s="18" t="s">
        <v>70</v>
      </c>
      <c r="V10" s="17">
        <f t="shared" si="3"/>
        <v>15</v>
      </c>
      <c r="W10" s="18" t="s">
        <v>71</v>
      </c>
      <c r="X10" s="17">
        <f t="shared" si="4"/>
        <v>15</v>
      </c>
      <c r="Y10" s="18" t="s">
        <v>72</v>
      </c>
      <c r="Z10" s="17">
        <f t="shared" si="5"/>
        <v>15</v>
      </c>
      <c r="AA10" s="18" t="s">
        <v>73</v>
      </c>
      <c r="AB10" s="17">
        <f t="shared" si="6"/>
        <v>0</v>
      </c>
      <c r="AC10" s="19">
        <f t="shared" si="7"/>
        <v>90</v>
      </c>
      <c r="AD10" s="19" t="str">
        <f t="shared" si="8"/>
        <v>Moderado</v>
      </c>
      <c r="AE10" s="19" t="s">
        <v>74</v>
      </c>
      <c r="AF10" s="20" t="str">
        <f t="shared" si="9"/>
        <v>Moderado</v>
      </c>
      <c r="AG10" s="20" t="str">
        <f t="shared" si="10"/>
        <v>50</v>
      </c>
      <c r="AH10" s="343"/>
      <c r="AI10" s="340"/>
      <c r="AJ10" s="340"/>
      <c r="AK10" s="340"/>
      <c r="AL10" s="344"/>
      <c r="AM10" s="342"/>
      <c r="AN10" s="338"/>
      <c r="AO10" s="339"/>
      <c r="AP10" s="358"/>
      <c r="AQ10" s="342"/>
      <c r="AR10" s="338"/>
      <c r="AS10" s="340"/>
      <c r="AT10" s="336"/>
      <c r="AU10" s="21"/>
      <c r="AV10" s="25"/>
      <c r="AW10" s="23"/>
      <c r="AX10" s="23"/>
      <c r="AY10" s="22"/>
      <c r="AZ10" s="25"/>
      <c r="BA10" s="286"/>
      <c r="BB10" s="286"/>
    </row>
    <row r="11" spans="1:54" s="26" customFormat="1" ht="24" customHeight="1" x14ac:dyDescent="0.25">
      <c r="A11" s="354"/>
      <c r="B11" s="271"/>
      <c r="C11" s="271"/>
      <c r="D11" s="350"/>
      <c r="E11" s="271"/>
      <c r="F11" s="271"/>
      <c r="G11" s="338"/>
      <c r="H11" s="338"/>
      <c r="I11" s="345"/>
      <c r="J11" s="338"/>
      <c r="K11" s="338"/>
      <c r="L11" s="338"/>
      <c r="M11" s="14">
        <v>5</v>
      </c>
      <c r="N11" s="29"/>
      <c r="O11" s="16"/>
      <c r="P11" s="17" t="b">
        <f t="shared" si="0"/>
        <v>0</v>
      </c>
      <c r="Q11" s="18"/>
      <c r="R11" s="17" t="b">
        <f t="shared" si="1"/>
        <v>0</v>
      </c>
      <c r="S11" s="18"/>
      <c r="T11" s="17" t="b">
        <f t="shared" si="2"/>
        <v>0</v>
      </c>
      <c r="U11" s="18"/>
      <c r="V11" s="17" t="b">
        <f t="shared" si="3"/>
        <v>0</v>
      </c>
      <c r="W11" s="18"/>
      <c r="X11" s="17" t="b">
        <f t="shared" si="4"/>
        <v>0</v>
      </c>
      <c r="Y11" s="18"/>
      <c r="Z11" s="17" t="b">
        <f t="shared" si="5"/>
        <v>0</v>
      </c>
      <c r="AA11" s="18"/>
      <c r="AB11" s="17" t="b">
        <f t="shared" si="6"/>
        <v>0</v>
      </c>
      <c r="AC11" s="19">
        <f t="shared" si="7"/>
        <v>0</v>
      </c>
      <c r="AD11" s="19" t="str">
        <f t="shared" si="8"/>
        <v>Débil</v>
      </c>
      <c r="AE11" s="19"/>
      <c r="AF11" s="20" t="str">
        <f t="shared" si="9"/>
        <v>Débil</v>
      </c>
      <c r="AG11" s="20" t="str">
        <f t="shared" si="10"/>
        <v>0</v>
      </c>
      <c r="AH11" s="343"/>
      <c r="AI11" s="340"/>
      <c r="AJ11" s="340"/>
      <c r="AK11" s="340"/>
      <c r="AL11" s="344"/>
      <c r="AM11" s="342"/>
      <c r="AN11" s="338"/>
      <c r="AO11" s="339"/>
      <c r="AP11" s="358"/>
      <c r="AQ11" s="342"/>
      <c r="AR11" s="338"/>
      <c r="AS11" s="340"/>
      <c r="AT11" s="336"/>
      <c r="AU11" s="21"/>
      <c r="AV11" s="25"/>
      <c r="AW11" s="23"/>
      <c r="AX11" s="23"/>
      <c r="AY11" s="22"/>
      <c r="AZ11" s="25"/>
      <c r="BA11" s="286"/>
      <c r="BB11" s="286"/>
    </row>
    <row r="12" spans="1:54" s="26" customFormat="1" ht="24" customHeight="1" x14ac:dyDescent="0.25">
      <c r="A12" s="354" t="s">
        <v>100</v>
      </c>
      <c r="B12" s="355" t="s">
        <v>101</v>
      </c>
      <c r="C12" s="271" t="s">
        <v>102</v>
      </c>
      <c r="D12" s="350" t="s">
        <v>103</v>
      </c>
      <c r="E12" s="271" t="s">
        <v>63</v>
      </c>
      <c r="F12" s="271" t="s">
        <v>94</v>
      </c>
      <c r="G12" s="338" t="str">
        <f>IF(AND(F12=[27]calificación_impacto_corrupción!$B$2),[27]calificación_impacto_corrupción!$A$2,IF(AND(F12=[27]calificación_impacto_corrupción!$B$3),[27]calificación_impacto_corrupción!$A$3,IF(AND(F12=[27]calificación_impacto_corrupción!$B$4),[27]calificación_impacto_corrupción!$A$4,IF(AND(F12=[27]calificación_impacto_corrupción!$B$5),[27]calificación_impacto_corrupción!$A$5,IF(AND(F12=[27]calificación_impacto_corrupción!$B$6),[27]calificación_impacto_corrupción!$A$6,FALSE)))))</f>
        <v>Improbable</v>
      </c>
      <c r="H12" s="338" t="str">
        <f>IF(AND(F12=[27]calificación_impacto_corrupción!$B$6),"20%",IF(AND(F12=[27]calificación_impacto_corrupción!$B$5),"40%",IF(AND(F12=[27]calificación_impacto_corrupción!$B$4),"60%",IF(AND(F12=[27]calificación_impacto_corrupción!$B$3),"80%",IF(AND(F12=[27]calificación_impacto_corrupción!$B$2),"100%",FALSE)))))</f>
        <v>40%</v>
      </c>
      <c r="I12" s="345" t="s">
        <v>104</v>
      </c>
      <c r="J12" s="338" t="str">
        <f>IF(AND(I12=[27]DESPLEGABLES!$A$19),"Leve",IF(AND(I12=[27]DESPLEGABLES!$A$20),"Menor",IF(AND(I12=[27]DESPLEGABLES!$A$21),"Moderado",IF(AND(I12=[27]DESPLEGABLES!$A$22),"Mayor",IF(AND(I12=[27]DESPLEGABLES!$A$23),"Catastrófico",IF(AND(I12=[27]DESPLEGABLES!$A$25),"Leve",IF(AND(I12=[27]DESPLEGABLES!$A$26),"Menor",IF(AND(I12=[27]DESPLEGABLES!$A$27),"Moderado",IF(AND(I12=[27]DESPLEGABLES!$A$28),"Mayor",IF(AND(I12=[27]DESPLEGABLES!$A$29),"Catastrófico",IF(AND(I12=[27]DESPLEGABLES!$A$31),"Moderado",IF(AND(I12=[27]DESPLEGABLES!$A$32),"Mayor",IF(AND(I12=[27]DESPLEGABLES!$A$33),"Catastrófico","")))))))))))))</f>
        <v>Moderado</v>
      </c>
      <c r="K12" s="338" t="str">
        <f>IF(AND(J12="Leve"),"20%",IF(AND(J12="Menor"),"40%",IF(AND(J12="Moderado"),"60%",IF(AND(J12="Mayor"),"80%",IF(AND(J12="Catastrófico"),"100%","")))))</f>
        <v>60%</v>
      </c>
      <c r="L12" s="338" t="str">
        <f>IF(AND(H12&lt;="40%",K12="20%"),"Bajo",IF(AND(H12="60%",K12="20%"),"Moderado",IF(AND(H12="80%",K12="20%"),"Moderado",IF(AND(H12="100%",K12="20%"),"Alto",IF(AND(H12="20%",K12="40%"),"Bajo",IF(AND(H12="40%",K12="40%"),"Moderado",IF(AND(H12="60%",K12="40%"),"Moderado",IF(AND(H12="80%",K12="40%"),"Moderado",IF(AND(H12="100%",K12="40%"),"Alto",IF(AND(H12="20%",K12="60%"),"Moderado",IF(AND(H12="40%",K12="60%"),"Moderado",IF(AND(H12="60%",K12="60%"),"Moderado",IF(AND(H12="80%",K12="60%"),"Alto",IF(AND(H12="100%",K12="60%"),"Alto",IF(AND(H12="20%",K12="80%"),"Alto",IF(AND(H12="40%",K12="80%"),"Alto",IF(AND(H12="60%",K12="80%"),"Alto",IF(AND(H12="80%",K12="80%"),"Alto",IF(AND(H12="100%",K12="80%"),"Alto",IF(AND(H12="20%",K12="100%"),"Extremo",IF(AND(H12="40%",K12="100%"),"Extremo",IF(AND(H12="60%",K12="100%"),"Extremo",IF(AND(H12="80%",K12="100%"),"Moderado",IF(AND(H12="100%",K12="100%"),"Extremo",""))))))))))))))))))))))))</f>
        <v>Moderado</v>
      </c>
      <c r="M12" s="14">
        <v>1</v>
      </c>
      <c r="N12" s="15" t="s">
        <v>105</v>
      </c>
      <c r="O12" s="16" t="s">
        <v>67</v>
      </c>
      <c r="P12" s="17">
        <f>IF(O12="Asignado",15,IF(O12="NO asignado",0))</f>
        <v>15</v>
      </c>
      <c r="Q12" s="18" t="s">
        <v>68</v>
      </c>
      <c r="R12" s="17">
        <f>IF(Q12="Adecuado",15,IF(Q12="Inadecuado",0))</f>
        <v>15</v>
      </c>
      <c r="S12" s="18" t="s">
        <v>69</v>
      </c>
      <c r="T12" s="17">
        <f>IF(S12="Oportuna",15,IF(S12="Inoportuna",0))</f>
        <v>15</v>
      </c>
      <c r="U12" s="18" t="s">
        <v>70</v>
      </c>
      <c r="V12" s="17">
        <f>IF(U12="Prevenir",15,IF(U12="Detectar",10,IF(U12="No es un control",0)))</f>
        <v>15</v>
      </c>
      <c r="W12" s="18" t="s">
        <v>71</v>
      </c>
      <c r="X12" s="17">
        <f>IF(W12="Confiable",15,IF(W12="No confiable",0))</f>
        <v>15</v>
      </c>
      <c r="Y12" s="18" t="s">
        <v>72</v>
      </c>
      <c r="Z12" s="17">
        <f>IF(Y12="Se investigan oportunamente",15,IF(Y12="No se investigan oportunamente",0))</f>
        <v>15</v>
      </c>
      <c r="AA12" s="18" t="s">
        <v>90</v>
      </c>
      <c r="AB12" s="17">
        <f>IF(AA12="Completa",10,IF(AA12="Incompleta",5,IF(AA12="No existe",0)))</f>
        <v>10</v>
      </c>
      <c r="AC12" s="19">
        <f>P12+R12+T12+V12+X12+Z12+AB12</f>
        <v>100</v>
      </c>
      <c r="AD12" s="19" t="str">
        <f>IF(AC12&lt;86,"Débil",(IF(AC12&lt;96,"Moderado","Fuerte")))</f>
        <v>Fuerte</v>
      </c>
      <c r="AE12" s="19" t="s">
        <v>74</v>
      </c>
      <c r="AF12" s="20" t="str">
        <f>IF(OR(AND(AD12="Fuerte",AE12="Moderado"),AND(AD12="Moderado",AE12="Fuerte"),AND(AD12="Moderado",AE12="Moderado")),"Moderado",IF(OR(AND(AD12="Fuerte",AE12="Débil"),AND(AD12="Moderado",AE12="Débil"),AND(AD12="Débil")),"Débil",IF(AND(AD12="Fuerte",AE12="Fuerte"),"Fuerte")))</f>
        <v>Fuerte</v>
      </c>
      <c r="AG12" s="20" t="str">
        <f>IF(AF12="Fuerte","100",IF(AF12="Moderado","50",IF(AF12="Débil","0")))</f>
        <v>100</v>
      </c>
      <c r="AH12" s="343">
        <v>1</v>
      </c>
      <c r="AI12" s="340">
        <f>(AG12+AG13+AG14+AG15+AG16)/AH12</f>
        <v>100</v>
      </c>
      <c r="AJ12" s="340" t="str">
        <f>IF(AI12&lt;50,"Débil",IF(AI12&lt;=99,"Moderado",IF(AI12=100,"Fuerte",IF(AI12="","ERROR"))))</f>
        <v>Fuerte</v>
      </c>
      <c r="AK12" s="340" t="s">
        <v>75</v>
      </c>
      <c r="AL12" s="344">
        <f>IF(AJ12="Débil",0,IF(AND(AJ12="Moderado",AK12="Directamente"),20%,IF(AND(AJ12="Moderado",AK12="No disminuye"),0,IF(AND(AJ12="Fuerte",AK12="Directamente"),40%,IF(AND(AJ12="Fuerte",AK12="No disminuye"),0)))))</f>
        <v>0.4</v>
      </c>
      <c r="AM12" s="341">
        <f>H12-AL12</f>
        <v>0</v>
      </c>
      <c r="AN12" s="352" t="str">
        <f>IF(AM12=100%,"Casi Seguro",IF(AM12=80,"Probable",IF(AM12=60%,"Posible",IF(AM12=40%,"Improbable",IF(AM12=20%,"Rara Vez",IF(AM12=0,"Rara Vez",IF(AM12&lt;0,"Rara Vez")))))))</f>
        <v>Rara Vez</v>
      </c>
      <c r="AO12" s="357" t="s">
        <v>96</v>
      </c>
      <c r="AP12" s="353">
        <f>IF(AJ12="Débil",0,IF(AND(AJ12="Moderado",AO12="Directamente"),20%,IF(AND(AJ12="Moderado",AO12="Indirectamente"),0,IF(AND(AJ12="Moderado",AO12="No disminuye"),0,IF(AND(AJ12="Fuerte",AO12="Directamente"),40%,IF(AND(AJ12="Fuerte",AO12="Indirectamente"),20%,IF(AND(AJ12="Fuerte",AO12="No disminuye"),0)))))))</f>
        <v>0</v>
      </c>
      <c r="AQ12" s="351">
        <f>K12-AP12</f>
        <v>0.6</v>
      </c>
      <c r="AR12" s="352" t="str">
        <f>IF(AQ12=100%,"Catastrófico",IF(AQ12=80%,"Mayor",IF(AQ12=60%,"Moderado",IF(AQ12&lt;=60%,"Moderado"))))</f>
        <v>Moderado</v>
      </c>
      <c r="AS12" s="353" t="str">
        <f>IF(OR(AND(AR12="Moderado",AN12="Rara Vez"),AND(AR12="Moderado",AN12="Improbable")),"Moderado",IF(OR(AND(AR12="Mayor",AN12="Improbable"),AND(AR12="Mayor",AN12="Rara Vez"),AND(AR12="Moderado",AN12="Probable"),AND(AR12="Moderado",AN12="Posible")),"Alto",IF(OR(AND(AR12="Moderado",AN12="Casi Seguro"),AND(AR12="Mayor",AN12="Posible"),AND(AR12="Mayor",AN12="Probable"),AND(AR12="Mayor",AN12="Casi Seguro")),"Extremo",IF(AR12="Catastrófico","Extremo"))))</f>
        <v>Moderado</v>
      </c>
      <c r="AT12" s="356" t="s">
        <v>77</v>
      </c>
      <c r="AU12" s="21" t="s">
        <v>106</v>
      </c>
      <c r="AV12" s="22" t="s">
        <v>107</v>
      </c>
      <c r="AW12" s="23">
        <v>44331</v>
      </c>
      <c r="AX12" s="23" t="s">
        <v>108</v>
      </c>
      <c r="AY12" s="34" t="s">
        <v>109</v>
      </c>
      <c r="AZ12" s="25" t="s">
        <v>81</v>
      </c>
      <c r="BA12" s="337" t="s">
        <v>92</v>
      </c>
      <c r="BB12" s="337" t="s">
        <v>93</v>
      </c>
    </row>
    <row r="13" spans="1:54" s="26" customFormat="1" ht="24" customHeight="1" x14ac:dyDescent="0.25">
      <c r="A13" s="354"/>
      <c r="B13" s="271"/>
      <c r="C13" s="271"/>
      <c r="D13" s="350"/>
      <c r="E13" s="271"/>
      <c r="F13" s="271"/>
      <c r="G13" s="338"/>
      <c r="H13" s="338"/>
      <c r="I13" s="345"/>
      <c r="J13" s="338"/>
      <c r="K13" s="338"/>
      <c r="L13" s="338"/>
      <c r="M13" s="14">
        <v>2</v>
      </c>
      <c r="N13" s="32"/>
      <c r="O13" s="16"/>
      <c r="P13" s="17" t="b">
        <f t="shared" ref="P13:P16" si="11">IF(O13="Asignado",15,IF(O13="NO asignado",0))</f>
        <v>0</v>
      </c>
      <c r="Q13" s="18"/>
      <c r="R13" s="17" t="b">
        <f t="shared" ref="R13:R16" si="12">IF(Q13="Adecuado",15,IF(Q13="Inadecuado",0))</f>
        <v>0</v>
      </c>
      <c r="S13" s="18"/>
      <c r="T13" s="17" t="b">
        <f t="shared" ref="T13:T16" si="13">IF(S13="Oportuna",15,IF(S13="Inoportuna",0))</f>
        <v>0</v>
      </c>
      <c r="U13" s="18"/>
      <c r="V13" s="17" t="b">
        <f t="shared" ref="V13:V16" si="14">IF(U13="Prevenir",15,IF(U13="Detectar",10,IF(U13="No es un control",0)))</f>
        <v>0</v>
      </c>
      <c r="W13" s="18"/>
      <c r="X13" s="17" t="b">
        <f t="shared" ref="X13:X16" si="15">IF(W13="Confiable",15,IF(W13="No confiable",0))</f>
        <v>0</v>
      </c>
      <c r="Y13" s="18"/>
      <c r="Z13" s="17" t="b">
        <f t="shared" ref="Z13:Z16" si="16">IF(Y13="Se investigan oportunamente",15,IF(Y13="No se investigan oportunamente",0))</f>
        <v>0</v>
      </c>
      <c r="AA13" s="18"/>
      <c r="AB13" s="17" t="b">
        <f t="shared" ref="AB13:AB16" si="17">IF(AA13="Completa",10,IF(AA13="Incompleta",5,IF(AA13="No existe",0)))</f>
        <v>0</v>
      </c>
      <c r="AC13" s="19">
        <f t="shared" ref="AC13:AC16" si="18">P13+R13+T13+V13+X13+Z13+AB13</f>
        <v>0</v>
      </c>
      <c r="AD13" s="19" t="str">
        <f t="shared" ref="AD13:AD16" si="19">IF(AC13&lt;86,"Débil",(IF(AC13&lt;96,"Moderado","Fuerte")))</f>
        <v>Débil</v>
      </c>
      <c r="AE13" s="19"/>
      <c r="AF13" s="20" t="str">
        <f t="shared" ref="AF13:AF16" si="20">IF(OR(AND(AD13="Fuerte",AE13="Moderado"),AND(AD13="Moderado",AE13="Fuerte"),AND(AD13="Moderado",AE13="Moderado")),"Moderado",IF(OR(AND(AD13="Fuerte",AE13="Débil"),AND(AD13="Moderado",AE13="Débil"),AND(AD13="Débil")),"Débil",IF(AND(AD13="Fuerte",AE13="Fuerte"),"Fuerte")))</f>
        <v>Débil</v>
      </c>
      <c r="AG13" s="20" t="str">
        <f t="shared" ref="AG13:AG16" si="21">IF(AF13="Fuerte","100",IF(AF13="Moderado","50",IF(AF13="Débil","0")))</f>
        <v>0</v>
      </c>
      <c r="AH13" s="343"/>
      <c r="AI13" s="340"/>
      <c r="AJ13" s="340"/>
      <c r="AK13" s="340"/>
      <c r="AL13" s="344"/>
      <c r="AM13" s="342"/>
      <c r="AN13" s="338"/>
      <c r="AO13" s="339"/>
      <c r="AP13" s="340"/>
      <c r="AQ13" s="342"/>
      <c r="AR13" s="338"/>
      <c r="AS13" s="340"/>
      <c r="AT13" s="336"/>
      <c r="AU13" s="21"/>
      <c r="AV13" s="25"/>
      <c r="AW13" s="23"/>
      <c r="AX13" s="23"/>
      <c r="AY13" s="22"/>
      <c r="AZ13" s="25"/>
      <c r="BA13" s="286"/>
      <c r="BB13" s="286"/>
    </row>
    <row r="14" spans="1:54" s="26" customFormat="1" ht="24" customHeight="1" x14ac:dyDescent="0.25">
      <c r="A14" s="354"/>
      <c r="B14" s="271"/>
      <c r="C14" s="271"/>
      <c r="D14" s="350"/>
      <c r="E14" s="271"/>
      <c r="F14" s="271"/>
      <c r="G14" s="338"/>
      <c r="H14" s="338"/>
      <c r="I14" s="345"/>
      <c r="J14" s="338"/>
      <c r="K14" s="338"/>
      <c r="L14" s="338"/>
      <c r="M14" s="14">
        <v>3</v>
      </c>
      <c r="N14" s="32"/>
      <c r="O14" s="16"/>
      <c r="P14" s="17" t="b">
        <f t="shared" si="11"/>
        <v>0</v>
      </c>
      <c r="Q14" s="18"/>
      <c r="R14" s="17" t="b">
        <f t="shared" si="12"/>
        <v>0</v>
      </c>
      <c r="S14" s="18"/>
      <c r="T14" s="17" t="b">
        <f t="shared" si="13"/>
        <v>0</v>
      </c>
      <c r="U14" s="18"/>
      <c r="V14" s="17" t="b">
        <f t="shared" si="14"/>
        <v>0</v>
      </c>
      <c r="W14" s="18"/>
      <c r="X14" s="17" t="b">
        <f t="shared" si="15"/>
        <v>0</v>
      </c>
      <c r="Y14" s="18"/>
      <c r="Z14" s="17" t="b">
        <f t="shared" si="16"/>
        <v>0</v>
      </c>
      <c r="AA14" s="18"/>
      <c r="AB14" s="17" t="b">
        <f t="shared" si="17"/>
        <v>0</v>
      </c>
      <c r="AC14" s="19">
        <f t="shared" si="18"/>
        <v>0</v>
      </c>
      <c r="AD14" s="19" t="str">
        <f t="shared" si="19"/>
        <v>Débil</v>
      </c>
      <c r="AE14" s="19"/>
      <c r="AF14" s="20" t="str">
        <f t="shared" si="20"/>
        <v>Débil</v>
      </c>
      <c r="AG14" s="20" t="str">
        <f t="shared" si="21"/>
        <v>0</v>
      </c>
      <c r="AH14" s="343"/>
      <c r="AI14" s="340"/>
      <c r="AJ14" s="340"/>
      <c r="AK14" s="340"/>
      <c r="AL14" s="344"/>
      <c r="AM14" s="342"/>
      <c r="AN14" s="338"/>
      <c r="AO14" s="339"/>
      <c r="AP14" s="340"/>
      <c r="AQ14" s="342"/>
      <c r="AR14" s="338"/>
      <c r="AS14" s="340"/>
      <c r="AT14" s="336"/>
      <c r="AU14" s="21"/>
      <c r="AV14" s="25"/>
      <c r="AW14" s="23"/>
      <c r="AX14" s="23"/>
      <c r="AY14" s="22"/>
      <c r="AZ14" s="25"/>
      <c r="BA14" s="286"/>
      <c r="BB14" s="286"/>
    </row>
    <row r="15" spans="1:54" s="26" customFormat="1" ht="24" customHeight="1" x14ac:dyDescent="0.25">
      <c r="A15" s="354"/>
      <c r="B15" s="271"/>
      <c r="C15" s="271"/>
      <c r="D15" s="350"/>
      <c r="E15" s="271"/>
      <c r="F15" s="271"/>
      <c r="G15" s="338"/>
      <c r="H15" s="338"/>
      <c r="I15" s="345"/>
      <c r="J15" s="338"/>
      <c r="K15" s="338"/>
      <c r="L15" s="338"/>
      <c r="M15" s="14">
        <v>4</v>
      </c>
      <c r="N15" s="33"/>
      <c r="O15" s="16"/>
      <c r="P15" s="17" t="b">
        <f t="shared" si="11"/>
        <v>0</v>
      </c>
      <c r="Q15" s="18"/>
      <c r="R15" s="17" t="b">
        <f t="shared" si="12"/>
        <v>0</v>
      </c>
      <c r="S15" s="18"/>
      <c r="T15" s="17" t="b">
        <f t="shared" si="13"/>
        <v>0</v>
      </c>
      <c r="U15" s="18"/>
      <c r="V15" s="17" t="b">
        <f t="shared" si="14"/>
        <v>0</v>
      </c>
      <c r="W15" s="18"/>
      <c r="X15" s="17" t="b">
        <f t="shared" si="15"/>
        <v>0</v>
      </c>
      <c r="Y15" s="18"/>
      <c r="Z15" s="17" t="b">
        <f t="shared" si="16"/>
        <v>0</v>
      </c>
      <c r="AA15" s="18"/>
      <c r="AB15" s="17" t="b">
        <f t="shared" si="17"/>
        <v>0</v>
      </c>
      <c r="AC15" s="19">
        <f t="shared" si="18"/>
        <v>0</v>
      </c>
      <c r="AD15" s="19" t="str">
        <f t="shared" si="19"/>
        <v>Débil</v>
      </c>
      <c r="AE15" s="19"/>
      <c r="AF15" s="20" t="str">
        <f t="shared" si="20"/>
        <v>Débil</v>
      </c>
      <c r="AG15" s="20" t="str">
        <f t="shared" si="21"/>
        <v>0</v>
      </c>
      <c r="AH15" s="343"/>
      <c r="AI15" s="340"/>
      <c r="AJ15" s="340"/>
      <c r="AK15" s="340"/>
      <c r="AL15" s="344"/>
      <c r="AM15" s="342"/>
      <c r="AN15" s="338"/>
      <c r="AO15" s="339"/>
      <c r="AP15" s="340"/>
      <c r="AQ15" s="342"/>
      <c r="AR15" s="338"/>
      <c r="AS15" s="340"/>
      <c r="AT15" s="336"/>
      <c r="AU15" s="21"/>
      <c r="AV15" s="25"/>
      <c r="AW15" s="23"/>
      <c r="AX15" s="23"/>
      <c r="AY15" s="22"/>
      <c r="AZ15" s="25"/>
      <c r="BA15" s="286"/>
      <c r="BB15" s="286"/>
    </row>
    <row r="16" spans="1:54" s="26" customFormat="1" ht="24" customHeight="1" x14ac:dyDescent="0.25">
      <c r="A16" s="354"/>
      <c r="B16" s="271"/>
      <c r="C16" s="271"/>
      <c r="D16" s="350"/>
      <c r="E16" s="271"/>
      <c r="F16" s="271"/>
      <c r="G16" s="338"/>
      <c r="H16" s="338"/>
      <c r="I16" s="345"/>
      <c r="J16" s="338"/>
      <c r="K16" s="338"/>
      <c r="L16" s="338"/>
      <c r="M16" s="14">
        <v>5</v>
      </c>
      <c r="N16" s="33"/>
      <c r="O16" s="16"/>
      <c r="P16" s="17" t="b">
        <f t="shared" si="11"/>
        <v>0</v>
      </c>
      <c r="Q16" s="18"/>
      <c r="R16" s="17" t="b">
        <f t="shared" si="12"/>
        <v>0</v>
      </c>
      <c r="S16" s="18"/>
      <c r="T16" s="17" t="b">
        <f t="shared" si="13"/>
        <v>0</v>
      </c>
      <c r="U16" s="18"/>
      <c r="V16" s="17" t="b">
        <f t="shared" si="14"/>
        <v>0</v>
      </c>
      <c r="W16" s="18"/>
      <c r="X16" s="17" t="b">
        <f t="shared" si="15"/>
        <v>0</v>
      </c>
      <c r="Y16" s="18"/>
      <c r="Z16" s="17" t="b">
        <f t="shared" si="16"/>
        <v>0</v>
      </c>
      <c r="AA16" s="18"/>
      <c r="AB16" s="17" t="b">
        <f t="shared" si="17"/>
        <v>0</v>
      </c>
      <c r="AC16" s="19">
        <f t="shared" si="18"/>
        <v>0</v>
      </c>
      <c r="AD16" s="19" t="str">
        <f t="shared" si="19"/>
        <v>Débil</v>
      </c>
      <c r="AE16" s="19"/>
      <c r="AF16" s="20" t="str">
        <f t="shared" si="20"/>
        <v>Débil</v>
      </c>
      <c r="AG16" s="20" t="str">
        <f t="shared" si="21"/>
        <v>0</v>
      </c>
      <c r="AH16" s="343"/>
      <c r="AI16" s="340"/>
      <c r="AJ16" s="340"/>
      <c r="AK16" s="340"/>
      <c r="AL16" s="344"/>
      <c r="AM16" s="342"/>
      <c r="AN16" s="338"/>
      <c r="AO16" s="339"/>
      <c r="AP16" s="340"/>
      <c r="AQ16" s="342"/>
      <c r="AR16" s="338"/>
      <c r="AS16" s="340"/>
      <c r="AT16" s="336"/>
      <c r="AU16" s="21"/>
      <c r="AV16" s="25"/>
      <c r="AW16" s="23"/>
      <c r="AX16" s="23"/>
      <c r="AY16" s="22"/>
      <c r="AZ16" s="25"/>
      <c r="BA16" s="286"/>
      <c r="BB16" s="286"/>
    </row>
    <row r="17" spans="1:54" ht="15" customHeight="1" x14ac:dyDescent="0.25">
      <c r="A17" s="346" t="s">
        <v>116</v>
      </c>
      <c r="B17" s="347" t="s">
        <v>115</v>
      </c>
      <c r="C17" s="271" t="s">
        <v>117</v>
      </c>
      <c r="D17" s="350" t="s">
        <v>118</v>
      </c>
      <c r="E17" s="271" t="s">
        <v>63</v>
      </c>
      <c r="F17" s="271" t="s">
        <v>89</v>
      </c>
      <c r="G17" s="338" t="str">
        <f>IF(AND(F17=[24]calificación_impacto_corrupción!$B$2),[24]calificación_impacto_corrupción!$A$2,IF(AND(F17=[24]calificación_impacto_corrupción!$B$3),[24]calificación_impacto_corrupción!$A$3,IF(AND(F17=[24]calificación_impacto_corrupción!$B$4),[24]calificación_impacto_corrupción!$A$4,IF(AND(F17=[24]calificación_impacto_corrupción!$B$5),[24]calificación_impacto_corrupción!$A$5,IF(AND(F17=[24]calificación_impacto_corrupción!$B$6),[24]calificación_impacto_corrupción!$A$6,FALSE)))))</f>
        <v>Posible</v>
      </c>
      <c r="H17" s="338" t="str">
        <f>IF(AND(F17=[24]calificación_impacto_corrupción!$B$6),"20%",IF(AND(F17=[24]calificación_impacto_corrupción!$B$5),"40%",IF(AND(F17=[24]calificación_impacto_corrupción!$B$4),"60%",IF(AND(F17=[24]calificación_impacto_corrupción!$B$3),"80%",IF(AND(F17=[24]calificación_impacto_corrupción!$B$2),"100%",FALSE)))))</f>
        <v>60%</v>
      </c>
      <c r="I17" s="345" t="s">
        <v>65</v>
      </c>
      <c r="J17" s="338" t="str">
        <f>IF(AND(I17=[24]DESPLEGABLES!$A$19),"Leve",IF(AND(I17=[24]DESPLEGABLES!$A$20),"Menor",IF(AND(I17=[24]DESPLEGABLES!$A$21),"Moderado",IF(AND(I17=[24]DESPLEGABLES!$A$22),"Mayor",IF(AND(I17=[24]DESPLEGABLES!$A$23),"Catastrófico",IF(AND(I17=[24]DESPLEGABLES!$A$25),"Leve",IF(AND(I17=[24]DESPLEGABLES!$A$26),"Menor",IF(AND(I17=[24]DESPLEGABLES!$A$27),"Moderado",IF(AND(I17=[24]DESPLEGABLES!$A$28),"Mayor",IF(AND(I17=[24]DESPLEGABLES!$A$29),"Catastrófico",IF(AND(I17=[24]DESPLEGABLES!$A$31),"Moderado",IF(AND(I17=[24]DESPLEGABLES!$A$32),"Mayor",IF(AND(I17=[24]DESPLEGABLES!$A$33),"Catastrófico","")))))))))))))</f>
        <v>Catastrófico</v>
      </c>
      <c r="K17" s="338" t="str">
        <f>IF(AND(J17="Leve"),"20%",IF(AND(J17="Menor"),"40%",IF(AND(J17="Moderado"),"60%",IF(AND(J17="Mayor"),"80%",IF(AND(J17="Catastrófico"),"100%","")))))</f>
        <v>100%</v>
      </c>
      <c r="L17" s="338" t="str">
        <f>IF(AND(H17&lt;="40%",K17="20%"),"Bajo",IF(AND(H17="60%",K17="20%"),"Moderado",IF(AND(H17="80%",K17="20%"),"Moderado",IF(AND(H17="100%",K17="20%"),"Alto",IF(AND(H17="20%",K17="40%"),"Bajo",IF(AND(H17="40%",K17="40%"),"Moderado",IF(AND(H17="60%",K17="40%"),"Moderado",IF(AND(H17="80%",K17="40%"),"Moderado",IF(AND(H17="100%",K17="40%"),"Alto",IF(AND(H17="20%",K17="60%"),"Moderado",IF(AND(H17="40%",K17="60%"),"Moderado",IF(AND(H17="60%",K17="60%"),"Moderado",IF(AND(H17="80%",K17="60%"),"Alto",IF(AND(H17="100%",K17="60%"),"Alto",IF(AND(H17="20%",K17="80%"),"Alto",IF(AND(H17="40%",K17="80%"),"Alto",IF(AND(H17="60%",K17="80%"),"Alto",IF(AND(H17="80%",K17="80%"),"Alto",IF(AND(H17="100%",K17="80%"),"Alto",IF(AND(H17="20%",K17="100%"),"Extremo",IF(AND(H17="40%",K17="100%"),"Extremo",IF(AND(H17="60%",K17="100%"),"Extremo",IF(AND(H17="80%",K17="100%"),"Moderado",IF(AND(H17="100%",K17="100%"),"Extremo",""))))))))))))))))))))))))</f>
        <v>Extremo</v>
      </c>
      <c r="M17" s="14">
        <v>1</v>
      </c>
      <c r="N17" s="15" t="s">
        <v>119</v>
      </c>
      <c r="O17" s="16" t="s">
        <v>120</v>
      </c>
      <c r="P17" s="17">
        <f>IF(O17="Asignado",15,IF(O17="NO asignado",0))</f>
        <v>0</v>
      </c>
      <c r="Q17" s="18" t="s">
        <v>121</v>
      </c>
      <c r="R17" s="17">
        <f>IF(Q17="Adecuado",15,IF(Q17="Inadecuado",0))</f>
        <v>0</v>
      </c>
      <c r="S17" s="18" t="s">
        <v>122</v>
      </c>
      <c r="T17" s="17" t="b">
        <f>IF(S17="Oportuna",15,IF(S17="Inoportuna",0))</f>
        <v>0</v>
      </c>
      <c r="U17" s="18" t="s">
        <v>123</v>
      </c>
      <c r="V17" s="17">
        <f>IF(U17="Prevenir",15,IF(U17="Detectar",10,IF(U17="No es un control",0)))</f>
        <v>0</v>
      </c>
      <c r="W17" s="18" t="s">
        <v>99</v>
      </c>
      <c r="X17" s="17">
        <f>IF(W17="Confiable",15,IF(W17="No confiable",0))</f>
        <v>0</v>
      </c>
      <c r="Y17" s="18" t="s">
        <v>98</v>
      </c>
      <c r="Z17" s="17">
        <f>IF(Y17="Se investigan oportunamente",15,IF(Y17="No se investigan oportunamente",0))</f>
        <v>0</v>
      </c>
      <c r="AA17" s="18" t="s">
        <v>73</v>
      </c>
      <c r="AB17" s="17">
        <f>IF(AA17="Completa",10,IF(AA17="Incompleta",5,IF(AA17="No existe",0)))</f>
        <v>0</v>
      </c>
      <c r="AC17" s="19">
        <f>P17+R17+T17+V17+X17+Z17+AB17</f>
        <v>0</v>
      </c>
      <c r="AD17" s="19" t="str">
        <f>IF(AC17&lt;86,"Débil",(IF(AC17&lt;96,"Moderado","Fuerte")))</f>
        <v>Débil</v>
      </c>
      <c r="AE17" s="19" t="s">
        <v>110</v>
      </c>
      <c r="AF17" s="20" t="str">
        <f>IF(OR(AND(AD17="Fuerte",AE17="Moderado"),AND(AD17="Moderado",AE17="Fuerte"),AND(AD17="Moderado",AE17="Moderado")),"Moderado",IF(OR(AND(AD17="Fuerte",AE17="Débil"),AND(AD17="Moderado",AE17="Débil"),AND(AD17="Débil")),"Débil",IF(AND(AD17="Fuerte",AE17="Fuerte"),"Fuerte")))</f>
        <v>Débil</v>
      </c>
      <c r="AG17" s="20" t="str">
        <f>IF(AF17="Fuerte","100",IF(AF17="Moderado","50",IF(AF17="Débil","0")))</f>
        <v>0</v>
      </c>
      <c r="AH17" s="343">
        <v>0</v>
      </c>
      <c r="AI17" s="340" t="e">
        <f>(AG17+AG18+AG19+AG20+AG21)/AH17</f>
        <v>#DIV/0!</v>
      </c>
      <c r="AJ17" s="340" t="e">
        <f>IF(AI17&lt;50,"Débil",IF(AI17&lt;=99,"Moderado",IF(AI17=100,"Fuerte",IF(AI17="","ERROR"))))</f>
        <v>#DIV/0!</v>
      </c>
      <c r="AK17" s="340" t="s">
        <v>96</v>
      </c>
      <c r="AL17" s="344" t="e">
        <f>IF(AJ17="Débil",0,IF(AND(AJ17="Moderado",AK17="Directamente"),20%,IF(AND(AJ17="Moderado",AK17="No disminuye"),0,IF(AND(AJ17="Fuerte",AK17="Directamente"),40%,IF(AND(AJ17="Fuerte",AK17="No disminuye"),0)))))</f>
        <v>#DIV/0!</v>
      </c>
      <c r="AM17" s="341" t="e">
        <f>H17-AL17</f>
        <v>#DIV/0!</v>
      </c>
      <c r="AN17" s="338" t="e">
        <f>IF(AM17=100%,"Casi Seguro",IF(AM17=80,"Probable",IF(AM17=60%,"Posible",IF(AM17=40%,"Improbable",IF(AM17=20%,"Rara Vez",IF(AM17=0,"Rara Vez",IF(AM17&lt;0,"Rara Vez")))))))</f>
        <v>#DIV/0!</v>
      </c>
      <c r="AO17" s="339" t="s">
        <v>96</v>
      </c>
      <c r="AP17" s="340" t="e">
        <f>IF(AJ17="Débil",0,IF(AND(AJ17="Moderado",AO17="Directamente"),20%,IF(AND(AJ17="Moderado",AO17="Indirectamente"),0,IF(AND(AJ17="Moderado",AO17="No disminuye"),0,IF(AND(AJ17="Fuerte",AO17="Directamente"),40%,IF(AND(AJ17="Fuerte",AO17="Indirectamente"),20%,IF(AND(AJ17="Fuerte",AO17="No disminuye"),0)))))))</f>
        <v>#DIV/0!</v>
      </c>
      <c r="AQ17" s="341" t="e">
        <f>K17-AP17</f>
        <v>#DIV/0!</v>
      </c>
      <c r="AR17" s="338" t="e">
        <f>IF(AQ17=100%,"Catastrófico",IF(AQ17=80%,"Mayor",IF(AQ17=60%,"Moderado",IF(AQ17&lt;=60%,"Moderado"))))</f>
        <v>#DIV/0!</v>
      </c>
      <c r="AS17" s="340" t="e">
        <f>IF(OR(AND(AR17="Moderado",AN17="Rara Vez"),AND(AR17="Moderado",AN17="Improbable")),"Moderado",IF(OR(AND(AR17="Mayor",AN17="Improbable"),AND(AR17="Mayor",AN17="Rara Vez"),AND(AR17="Moderado",AN17="Probable"),AND(AR17="Moderado",AN17="Posible")),"Alto",IF(OR(AND(AR17="Moderado",AN17="Casi Seguro"),AND(AR17="Mayor",AN17="Posible"),AND(AR17="Mayor",AN17="Probable"),AND(AR17="Mayor",AN17="Casi Seguro")),"Extremo",IF(AR17="Catastrófico","Extremo"))))</f>
        <v>#DIV/0!</v>
      </c>
      <c r="AT17" s="336" t="s">
        <v>77</v>
      </c>
      <c r="AU17" s="32" t="s">
        <v>124</v>
      </c>
      <c r="AV17" s="22" t="s">
        <v>125</v>
      </c>
      <c r="AW17" s="23">
        <v>44531</v>
      </c>
      <c r="AX17" s="23" t="s">
        <v>126</v>
      </c>
      <c r="AY17" s="22" t="s">
        <v>127</v>
      </c>
      <c r="AZ17" s="25" t="s">
        <v>81</v>
      </c>
      <c r="BA17" s="337"/>
      <c r="BB17" s="337"/>
    </row>
    <row r="18" spans="1:54" ht="15" customHeight="1" x14ac:dyDescent="0.25">
      <c r="A18" s="346"/>
      <c r="B18" s="348"/>
      <c r="C18" s="271"/>
      <c r="D18" s="350"/>
      <c r="E18" s="271"/>
      <c r="F18" s="271"/>
      <c r="G18" s="338"/>
      <c r="H18" s="338"/>
      <c r="I18" s="345"/>
      <c r="J18" s="338"/>
      <c r="K18" s="338"/>
      <c r="L18" s="338"/>
      <c r="M18" s="14">
        <v>2</v>
      </c>
      <c r="N18" s="15"/>
      <c r="O18" s="16"/>
      <c r="P18" s="17" t="b">
        <f t="shared" ref="P18:P21" si="22">IF(O18="Asignado",15,IF(O18="NO asignado",0))</f>
        <v>0</v>
      </c>
      <c r="Q18" s="18"/>
      <c r="R18" s="17" t="b">
        <f t="shared" ref="R18:R21" si="23">IF(Q18="Adecuado",15,IF(Q18="Inadecuado",0))</f>
        <v>0</v>
      </c>
      <c r="S18" s="18"/>
      <c r="T18" s="17" t="b">
        <f t="shared" ref="T18:T21" si="24">IF(S18="Oportuna",15,IF(S18="Inoportuna",0))</f>
        <v>0</v>
      </c>
      <c r="U18" s="18"/>
      <c r="V18" s="17" t="b">
        <f t="shared" ref="V18:V21" si="25">IF(U18="Prevenir",15,IF(U18="Detectar",10,IF(U18="No es un control",0)))</f>
        <v>0</v>
      </c>
      <c r="W18" s="18"/>
      <c r="X18" s="17" t="b">
        <f t="shared" ref="X18:X21" si="26">IF(W18="Confiable",15,IF(W18="No confiable",0))</f>
        <v>0</v>
      </c>
      <c r="Y18" s="18"/>
      <c r="Z18" s="17" t="b">
        <f t="shared" ref="Z18:Z21" si="27">IF(Y18="Se investigan oportunamente",15,IF(Y18="No se investigan oportunamente",0))</f>
        <v>0</v>
      </c>
      <c r="AA18" s="18"/>
      <c r="AB18" s="17" t="b">
        <f t="shared" ref="AB18:AB21" si="28">IF(AA18="Completa",10,IF(AA18="Incompleta",5,IF(AA18="No existe",0)))</f>
        <v>0</v>
      </c>
      <c r="AC18" s="19">
        <f t="shared" ref="AC18:AC21" si="29">P18+R18+T18+V18+X18+Z18+AB18</f>
        <v>0</v>
      </c>
      <c r="AD18" s="19" t="str">
        <f t="shared" ref="AD18:AD21" si="30">IF(AC18&lt;86,"Débil",(IF(AC18&lt;96,"Moderado","Fuerte")))</f>
        <v>Débil</v>
      </c>
      <c r="AE18" s="19"/>
      <c r="AF18" s="20" t="str">
        <f t="shared" ref="AF18:AF21" si="31">IF(OR(AND(AD18="Fuerte",AE18="Moderado"),AND(AD18="Moderado",AE18="Fuerte"),AND(AD18="Moderado",AE18="Moderado")),"Moderado",IF(OR(AND(AD18="Fuerte",AE18="Débil"),AND(AD18="Moderado",AE18="Débil"),AND(AD18="Débil")),"Débil",IF(AND(AD18="Fuerte",AE18="Fuerte"),"Fuerte")))</f>
        <v>Débil</v>
      </c>
      <c r="AG18" s="20" t="str">
        <f t="shared" ref="AG18:AG21" si="32">IF(AF18="Fuerte","100",IF(AF18="Moderado","50",IF(AF18="Débil","0")))</f>
        <v>0</v>
      </c>
      <c r="AH18" s="343"/>
      <c r="AI18" s="340"/>
      <c r="AJ18" s="340"/>
      <c r="AK18" s="340"/>
      <c r="AL18" s="344"/>
      <c r="AM18" s="342"/>
      <c r="AN18" s="338"/>
      <c r="AO18" s="339"/>
      <c r="AP18" s="340"/>
      <c r="AQ18" s="342"/>
      <c r="AR18" s="338"/>
      <c r="AS18" s="340"/>
      <c r="AT18" s="336"/>
      <c r="AU18" s="32"/>
      <c r="AV18" s="22"/>
      <c r="AW18" s="23"/>
      <c r="AX18" s="23"/>
      <c r="AY18" s="22"/>
      <c r="AZ18" s="25"/>
      <c r="BA18" s="286"/>
      <c r="BB18" s="286"/>
    </row>
    <row r="19" spans="1:54" ht="15" customHeight="1" x14ac:dyDescent="0.25">
      <c r="A19" s="346"/>
      <c r="B19" s="348"/>
      <c r="C19" s="271"/>
      <c r="D19" s="350"/>
      <c r="E19" s="271"/>
      <c r="F19" s="271"/>
      <c r="G19" s="338"/>
      <c r="H19" s="338"/>
      <c r="I19" s="345"/>
      <c r="J19" s="338"/>
      <c r="K19" s="338"/>
      <c r="L19" s="338"/>
      <c r="M19" s="14">
        <v>3</v>
      </c>
      <c r="N19" s="15"/>
      <c r="O19" s="16"/>
      <c r="P19" s="17" t="b">
        <f t="shared" si="22"/>
        <v>0</v>
      </c>
      <c r="Q19" s="18"/>
      <c r="R19" s="17" t="b">
        <f t="shared" si="23"/>
        <v>0</v>
      </c>
      <c r="S19" s="18"/>
      <c r="T19" s="17" t="b">
        <f t="shared" si="24"/>
        <v>0</v>
      </c>
      <c r="U19" s="18"/>
      <c r="V19" s="17" t="b">
        <f t="shared" si="25"/>
        <v>0</v>
      </c>
      <c r="W19" s="18"/>
      <c r="X19" s="17" t="b">
        <f t="shared" si="26"/>
        <v>0</v>
      </c>
      <c r="Y19" s="18"/>
      <c r="Z19" s="17" t="b">
        <f t="shared" si="27"/>
        <v>0</v>
      </c>
      <c r="AA19" s="18"/>
      <c r="AB19" s="17" t="b">
        <f t="shared" si="28"/>
        <v>0</v>
      </c>
      <c r="AC19" s="19">
        <f t="shared" si="29"/>
        <v>0</v>
      </c>
      <c r="AD19" s="19" t="str">
        <f t="shared" si="30"/>
        <v>Débil</v>
      </c>
      <c r="AE19" s="19"/>
      <c r="AF19" s="20" t="str">
        <f t="shared" si="31"/>
        <v>Débil</v>
      </c>
      <c r="AG19" s="20" t="str">
        <f t="shared" si="32"/>
        <v>0</v>
      </c>
      <c r="AH19" s="343"/>
      <c r="AI19" s="340"/>
      <c r="AJ19" s="340"/>
      <c r="AK19" s="340"/>
      <c r="AL19" s="344"/>
      <c r="AM19" s="342"/>
      <c r="AN19" s="338"/>
      <c r="AO19" s="339"/>
      <c r="AP19" s="340"/>
      <c r="AQ19" s="342"/>
      <c r="AR19" s="338"/>
      <c r="AS19" s="340"/>
      <c r="AT19" s="336"/>
      <c r="AU19" s="21"/>
      <c r="AV19" s="25"/>
      <c r="AW19" s="23"/>
      <c r="AX19" s="23"/>
      <c r="AY19" s="22"/>
      <c r="AZ19" s="25"/>
      <c r="BA19" s="286"/>
      <c r="BB19" s="286"/>
    </row>
    <row r="20" spans="1:54" ht="15" customHeight="1" x14ac:dyDescent="0.25">
      <c r="A20" s="346"/>
      <c r="B20" s="348"/>
      <c r="C20" s="271"/>
      <c r="D20" s="350"/>
      <c r="E20" s="271"/>
      <c r="F20" s="271"/>
      <c r="G20" s="338"/>
      <c r="H20" s="338"/>
      <c r="I20" s="345"/>
      <c r="J20" s="338"/>
      <c r="K20" s="338"/>
      <c r="L20" s="338"/>
      <c r="M20" s="14">
        <v>4</v>
      </c>
      <c r="N20" s="33"/>
      <c r="O20" s="16"/>
      <c r="P20" s="17" t="b">
        <f t="shared" si="22"/>
        <v>0</v>
      </c>
      <c r="Q20" s="18"/>
      <c r="R20" s="17" t="b">
        <f t="shared" si="23"/>
        <v>0</v>
      </c>
      <c r="S20" s="18"/>
      <c r="T20" s="17" t="b">
        <f t="shared" si="24"/>
        <v>0</v>
      </c>
      <c r="U20" s="18"/>
      <c r="V20" s="17" t="b">
        <f t="shared" si="25"/>
        <v>0</v>
      </c>
      <c r="W20" s="18"/>
      <c r="X20" s="17" t="b">
        <f t="shared" si="26"/>
        <v>0</v>
      </c>
      <c r="Y20" s="18"/>
      <c r="Z20" s="17" t="b">
        <f t="shared" si="27"/>
        <v>0</v>
      </c>
      <c r="AA20" s="18"/>
      <c r="AB20" s="17" t="b">
        <f t="shared" si="28"/>
        <v>0</v>
      </c>
      <c r="AC20" s="19">
        <f t="shared" si="29"/>
        <v>0</v>
      </c>
      <c r="AD20" s="19" t="str">
        <f t="shared" si="30"/>
        <v>Débil</v>
      </c>
      <c r="AE20" s="19"/>
      <c r="AF20" s="20" t="str">
        <f t="shared" si="31"/>
        <v>Débil</v>
      </c>
      <c r="AG20" s="20" t="str">
        <f t="shared" si="32"/>
        <v>0</v>
      </c>
      <c r="AH20" s="343"/>
      <c r="AI20" s="340"/>
      <c r="AJ20" s="340"/>
      <c r="AK20" s="340"/>
      <c r="AL20" s="344"/>
      <c r="AM20" s="342"/>
      <c r="AN20" s="338"/>
      <c r="AO20" s="339"/>
      <c r="AP20" s="340"/>
      <c r="AQ20" s="342"/>
      <c r="AR20" s="338"/>
      <c r="AS20" s="340"/>
      <c r="AT20" s="336"/>
      <c r="AU20" s="21"/>
      <c r="AV20" s="25"/>
      <c r="AW20" s="23"/>
      <c r="AX20" s="23"/>
      <c r="AY20" s="22"/>
      <c r="AZ20" s="25"/>
      <c r="BA20" s="286"/>
      <c r="BB20" s="286"/>
    </row>
    <row r="21" spans="1:54" ht="15" customHeight="1" x14ac:dyDescent="0.25">
      <c r="A21" s="346"/>
      <c r="B21" s="349"/>
      <c r="C21" s="271"/>
      <c r="D21" s="350"/>
      <c r="E21" s="271"/>
      <c r="F21" s="271"/>
      <c r="G21" s="338"/>
      <c r="H21" s="338"/>
      <c r="I21" s="345"/>
      <c r="J21" s="338"/>
      <c r="K21" s="338"/>
      <c r="L21" s="338"/>
      <c r="M21" s="14">
        <v>5</v>
      </c>
      <c r="N21" s="33"/>
      <c r="O21" s="16"/>
      <c r="P21" s="17" t="b">
        <f t="shared" si="22"/>
        <v>0</v>
      </c>
      <c r="Q21" s="18"/>
      <c r="R21" s="17" t="b">
        <f t="shared" si="23"/>
        <v>0</v>
      </c>
      <c r="S21" s="18"/>
      <c r="T21" s="17" t="b">
        <f t="shared" si="24"/>
        <v>0</v>
      </c>
      <c r="U21" s="18"/>
      <c r="V21" s="17" t="b">
        <f t="shared" si="25"/>
        <v>0</v>
      </c>
      <c r="W21" s="18"/>
      <c r="X21" s="17" t="b">
        <f t="shared" si="26"/>
        <v>0</v>
      </c>
      <c r="Y21" s="18"/>
      <c r="Z21" s="17" t="b">
        <f t="shared" si="27"/>
        <v>0</v>
      </c>
      <c r="AA21" s="18"/>
      <c r="AB21" s="17" t="b">
        <f t="shared" si="28"/>
        <v>0</v>
      </c>
      <c r="AC21" s="19">
        <f t="shared" si="29"/>
        <v>0</v>
      </c>
      <c r="AD21" s="19" t="str">
        <f t="shared" si="30"/>
        <v>Débil</v>
      </c>
      <c r="AE21" s="19"/>
      <c r="AF21" s="20" t="str">
        <f t="shared" si="31"/>
        <v>Débil</v>
      </c>
      <c r="AG21" s="20" t="str">
        <f t="shared" si="32"/>
        <v>0</v>
      </c>
      <c r="AH21" s="343"/>
      <c r="AI21" s="340"/>
      <c r="AJ21" s="340"/>
      <c r="AK21" s="340"/>
      <c r="AL21" s="344"/>
      <c r="AM21" s="342"/>
      <c r="AN21" s="338"/>
      <c r="AO21" s="339"/>
      <c r="AP21" s="340"/>
      <c r="AQ21" s="342"/>
      <c r="AR21" s="338"/>
      <c r="AS21" s="340"/>
      <c r="AT21" s="336"/>
      <c r="AU21" s="21"/>
      <c r="AV21" s="25"/>
      <c r="AW21" s="23"/>
      <c r="AX21" s="23"/>
      <c r="AY21" s="22"/>
      <c r="AZ21" s="25"/>
      <c r="BA21" s="286"/>
      <c r="BB21" s="286"/>
    </row>
  </sheetData>
  <sheetProtection selectLockedCells="1"/>
  <autoFilter ref="A6:BB21"/>
  <mergeCells count="131">
    <mergeCell ref="A1:AZ3"/>
    <mergeCell ref="A4:F4"/>
    <mergeCell ref="G4:L4"/>
    <mergeCell ref="M4:AD4"/>
    <mergeCell ref="AF4:AG5"/>
    <mergeCell ref="AH4:AH6"/>
    <mergeCell ref="AI4:AJ5"/>
    <mergeCell ref="AK4:AK6"/>
    <mergeCell ref="AL4:AL6"/>
    <mergeCell ref="AM4:AM6"/>
    <mergeCell ref="AU4:AZ4"/>
    <mergeCell ref="K5:K6"/>
    <mergeCell ref="L5:L6"/>
    <mergeCell ref="M5:M6"/>
    <mergeCell ref="AU5:AU6"/>
    <mergeCell ref="AV5:AV6"/>
    <mergeCell ref="AW5:AW6"/>
    <mergeCell ref="AX5:AX6"/>
    <mergeCell ref="AY5:AY6"/>
    <mergeCell ref="AZ5:AZ6"/>
    <mergeCell ref="Y5:Z5"/>
    <mergeCell ref="AA5:AB5"/>
    <mergeCell ref="AC5:AC6"/>
    <mergeCell ref="AD5:AD6"/>
    <mergeCell ref="BA4:BA6"/>
    <mergeCell ref="BB4:BB6"/>
    <mergeCell ref="A5:A6"/>
    <mergeCell ref="B5:B6"/>
    <mergeCell ref="C5:C6"/>
    <mergeCell ref="D5:D6"/>
    <mergeCell ref="E5:E6"/>
    <mergeCell ref="F5:F6"/>
    <mergeCell ref="G5:G6"/>
    <mergeCell ref="AN4:AN6"/>
    <mergeCell ref="AO4:AO6"/>
    <mergeCell ref="AP4:AP6"/>
    <mergeCell ref="AQ4:AQ6"/>
    <mergeCell ref="AR4:AR6"/>
    <mergeCell ref="AS4:AS6"/>
    <mergeCell ref="N5:N6"/>
    <mergeCell ref="O5:P5"/>
    <mergeCell ref="Q5:R5"/>
    <mergeCell ref="S5:T5"/>
    <mergeCell ref="U5:V5"/>
    <mergeCell ref="W5:X5"/>
    <mergeCell ref="H5:H6"/>
    <mergeCell ref="I5:I6"/>
    <mergeCell ref="J5:J6"/>
    <mergeCell ref="AE5:AE6"/>
    <mergeCell ref="AT5:AT6"/>
    <mergeCell ref="H7:H11"/>
    <mergeCell ref="I7:I11"/>
    <mergeCell ref="J7:J11"/>
    <mergeCell ref="K7:K11"/>
    <mergeCell ref="L7:L11"/>
    <mergeCell ref="AH7:AH11"/>
    <mergeCell ref="A7:A11"/>
    <mergeCell ref="B7:B11"/>
    <mergeCell ref="C7:C11"/>
    <mergeCell ref="D7:D11"/>
    <mergeCell ref="E7:E11"/>
    <mergeCell ref="F7:F11"/>
    <mergeCell ref="G7:G11"/>
    <mergeCell ref="BA7:BA11"/>
    <mergeCell ref="BB7:BB11"/>
    <mergeCell ref="AO7:AO11"/>
    <mergeCell ref="AP7:AP11"/>
    <mergeCell ref="AQ7:AQ11"/>
    <mergeCell ref="AR7:AR11"/>
    <mergeCell ref="AS7:AS11"/>
    <mergeCell ref="AT7:AT11"/>
    <mergeCell ref="AI7:AI11"/>
    <mergeCell ref="AJ7:AJ11"/>
    <mergeCell ref="AK7:AK11"/>
    <mergeCell ref="AL7:AL11"/>
    <mergeCell ref="AM7:AM11"/>
    <mergeCell ref="AN7:AN11"/>
    <mergeCell ref="AT12:AT16"/>
    <mergeCell ref="BA12:BA16"/>
    <mergeCell ref="BB12:BB16"/>
    <mergeCell ref="AK12:AK16"/>
    <mergeCell ref="AL12:AL16"/>
    <mergeCell ref="AM12:AM16"/>
    <mergeCell ref="AN12:AN16"/>
    <mergeCell ref="AO12:AO16"/>
    <mergeCell ref="AP12:AP16"/>
    <mergeCell ref="A17:A21"/>
    <mergeCell ref="B17:B21"/>
    <mergeCell ref="C17:C21"/>
    <mergeCell ref="D17:D21"/>
    <mergeCell ref="E17:E21"/>
    <mergeCell ref="F17:F21"/>
    <mergeCell ref="AQ12:AQ16"/>
    <mergeCell ref="AR12:AR16"/>
    <mergeCell ref="AS12:AS16"/>
    <mergeCell ref="J12:J16"/>
    <mergeCell ref="K12:K16"/>
    <mergeCell ref="L12:L16"/>
    <mergeCell ref="AH12:AH16"/>
    <mergeCell ref="AI12:AI16"/>
    <mergeCell ref="AJ12:AJ16"/>
    <mergeCell ref="A12:A16"/>
    <mergeCell ref="B12:B16"/>
    <mergeCell ref="C12:C16"/>
    <mergeCell ref="D12:D16"/>
    <mergeCell ref="E12:E16"/>
    <mergeCell ref="F12:F16"/>
    <mergeCell ref="G12:G16"/>
    <mergeCell ref="H12:H16"/>
    <mergeCell ref="I12:I16"/>
    <mergeCell ref="AH17:AH21"/>
    <mergeCell ref="AI17:AI21"/>
    <mergeCell ref="AJ17:AJ21"/>
    <mergeCell ref="AK17:AK21"/>
    <mergeCell ref="AL17:AL21"/>
    <mergeCell ref="AM17:AM21"/>
    <mergeCell ref="G17:G21"/>
    <mergeCell ref="H17:H21"/>
    <mergeCell ref="I17:I21"/>
    <mergeCell ref="J17:J21"/>
    <mergeCell ref="K17:K21"/>
    <mergeCell ref="L17:L21"/>
    <mergeCell ref="AT17:AT21"/>
    <mergeCell ref="BA17:BA21"/>
    <mergeCell ref="BB17:BB21"/>
    <mergeCell ref="AN17:AN21"/>
    <mergeCell ref="AO17:AO21"/>
    <mergeCell ref="AP17:AP21"/>
    <mergeCell ref="AQ17:AQ21"/>
    <mergeCell ref="AR17:AR21"/>
    <mergeCell ref="AS17:AS21"/>
  </mergeCells>
  <conditionalFormatting sqref="G7">
    <cfRule type="cellIs" dxfId="110" priority="707" operator="equal">
      <formula>"Casi seguro"</formula>
    </cfRule>
    <cfRule type="cellIs" dxfId="109" priority="708" operator="equal">
      <formula>"Probable"</formula>
    </cfRule>
    <cfRule type="cellIs" dxfId="108" priority="709" operator="equal">
      <formula>"Posible"</formula>
    </cfRule>
    <cfRule type="cellIs" dxfId="107" priority="710" operator="equal">
      <formula>"Improbable"</formula>
    </cfRule>
  </conditionalFormatting>
  <conditionalFormatting sqref="J7">
    <cfRule type="cellIs" dxfId="106" priority="702" operator="equal">
      <formula>"Catastrófico"</formula>
    </cfRule>
    <cfRule type="cellIs" dxfId="105" priority="703" operator="equal">
      <formula>"Mayor"</formula>
    </cfRule>
    <cfRule type="cellIs" dxfId="104" priority="704" operator="equal">
      <formula>"Moderado"</formula>
    </cfRule>
    <cfRule type="cellIs" dxfId="103" priority="705" operator="equal">
      <formula>"Menor"</formula>
    </cfRule>
    <cfRule type="cellIs" dxfId="102" priority="706" operator="equal">
      <formula>"Leve"</formula>
    </cfRule>
  </conditionalFormatting>
  <conditionalFormatting sqref="K7">
    <cfRule type="cellIs" dxfId="101" priority="697" operator="equal">
      <formula>"Muy Alta"</formula>
    </cfRule>
    <cfRule type="cellIs" dxfId="100" priority="698" operator="equal">
      <formula>"Alta"</formula>
    </cfRule>
    <cfRule type="cellIs" dxfId="99" priority="699" operator="equal">
      <formula>"Media"</formula>
    </cfRule>
    <cfRule type="cellIs" dxfId="98" priority="700" operator="equal">
      <formula>"Baja"</formula>
    </cfRule>
    <cfRule type="cellIs" dxfId="97" priority="701" operator="equal">
      <formula>"Muy Baja"</formula>
    </cfRule>
  </conditionalFormatting>
  <conditionalFormatting sqref="L7">
    <cfRule type="cellIs" dxfId="96" priority="693" operator="equal">
      <formula>"Extremo"</formula>
    </cfRule>
    <cfRule type="cellIs" dxfId="95" priority="694" operator="equal">
      <formula>"Alto"</formula>
    </cfRule>
    <cfRule type="cellIs" dxfId="94" priority="695" operator="equal">
      <formula>"Moderado"</formula>
    </cfRule>
    <cfRule type="cellIs" dxfId="93" priority="696" operator="equal">
      <formula>"Bajo"</formula>
    </cfRule>
  </conditionalFormatting>
  <conditionalFormatting sqref="AS7">
    <cfRule type="containsText" dxfId="92" priority="690" operator="containsText" text="Alto">
      <formula>NOT(ISERROR(SEARCH("Alto",AS7)))</formula>
    </cfRule>
    <cfRule type="containsText" dxfId="91" priority="691" stopIfTrue="1" operator="containsText" text="Moderado">
      <formula>NOT(ISERROR(SEARCH("Moderado",AS7)))</formula>
    </cfRule>
    <cfRule type="containsText" dxfId="90" priority="692" operator="containsText" text="Extremo">
      <formula>NOT(ISERROR(SEARCH("Extremo",AS7)))</formula>
    </cfRule>
  </conditionalFormatting>
  <conditionalFormatting sqref="H7">
    <cfRule type="cellIs" dxfId="89" priority="685" operator="equal">
      <formula>"Muy Alta"</formula>
    </cfRule>
    <cfRule type="cellIs" dxfId="88" priority="686" operator="equal">
      <formula>"Alta"</formula>
    </cfRule>
    <cfRule type="cellIs" dxfId="87" priority="687" operator="equal">
      <formula>"Media"</formula>
    </cfRule>
    <cfRule type="cellIs" dxfId="86" priority="688" operator="equal">
      <formula>"Baja"</formula>
    </cfRule>
    <cfRule type="cellIs" dxfId="85" priority="689" operator="equal">
      <formula>"Muy Baja"</formula>
    </cfRule>
  </conditionalFormatting>
  <conditionalFormatting sqref="G7:G11">
    <cfRule type="cellIs" dxfId="84" priority="684" operator="equal">
      <formula>"Rara vez"</formula>
    </cfRule>
  </conditionalFormatting>
  <conditionalFormatting sqref="AN7">
    <cfRule type="cellIs" dxfId="83" priority="680" operator="equal">
      <formula>"Casi seguro"</formula>
    </cfRule>
    <cfRule type="cellIs" dxfId="82" priority="681" operator="equal">
      <formula>"Probable"</formula>
    </cfRule>
    <cfRule type="cellIs" dxfId="81" priority="682" operator="equal">
      <formula>"Posible"</formula>
    </cfRule>
    <cfRule type="cellIs" dxfId="80" priority="683" operator="equal">
      <formula>"Improbable"</formula>
    </cfRule>
  </conditionalFormatting>
  <conditionalFormatting sqref="AN7:AN11">
    <cfRule type="cellIs" dxfId="79" priority="679" operator="equal">
      <formula>"Rara vez"</formula>
    </cfRule>
  </conditionalFormatting>
  <conditionalFormatting sqref="AR7">
    <cfRule type="cellIs" dxfId="78" priority="674" operator="equal">
      <formula>"Catastrófico"</formula>
    </cfRule>
    <cfRule type="cellIs" dxfId="77" priority="675" operator="equal">
      <formula>"Mayor"</formula>
    </cfRule>
    <cfRule type="cellIs" dxfId="76" priority="676" operator="equal">
      <formula>"Moderado"</formula>
    </cfRule>
    <cfRule type="cellIs" dxfId="75" priority="677" operator="equal">
      <formula>"Menor"</formula>
    </cfRule>
    <cfRule type="cellIs" dxfId="74" priority="678" operator="equal">
      <formula>"Leve"</formula>
    </cfRule>
  </conditionalFormatting>
  <conditionalFormatting sqref="G12">
    <cfRule type="cellIs" dxfId="73" priority="485" operator="equal">
      <formula>"Casi seguro"</formula>
    </cfRule>
    <cfRule type="cellIs" dxfId="72" priority="486" operator="equal">
      <formula>"Probable"</formula>
    </cfRule>
    <cfRule type="cellIs" dxfId="71" priority="487" operator="equal">
      <formula>"Posible"</formula>
    </cfRule>
    <cfRule type="cellIs" dxfId="70" priority="488" operator="equal">
      <formula>"Improbable"</formula>
    </cfRule>
  </conditionalFormatting>
  <conditionalFormatting sqref="H12">
    <cfRule type="cellIs" dxfId="69" priority="480" operator="equal">
      <formula>"Muy Alta"</formula>
    </cfRule>
    <cfRule type="cellIs" dxfId="68" priority="481" operator="equal">
      <formula>"Alta"</formula>
    </cfRule>
    <cfRule type="cellIs" dxfId="67" priority="482" operator="equal">
      <formula>"Media"</formula>
    </cfRule>
    <cfRule type="cellIs" dxfId="66" priority="483" operator="equal">
      <formula>"Baja"</formula>
    </cfRule>
    <cfRule type="cellIs" dxfId="65" priority="484" operator="equal">
      <formula>"Muy Baja"</formula>
    </cfRule>
  </conditionalFormatting>
  <conditionalFormatting sqref="G12:G16">
    <cfRule type="cellIs" dxfId="64" priority="479" operator="equal">
      <formula>"Rara vez"</formula>
    </cfRule>
  </conditionalFormatting>
  <conditionalFormatting sqref="J12">
    <cfRule type="cellIs" dxfId="63" priority="474" operator="equal">
      <formula>"Catastrófico"</formula>
    </cfRule>
    <cfRule type="cellIs" dxfId="62" priority="475" operator="equal">
      <formula>"Mayor"</formula>
    </cfRule>
    <cfRule type="cellIs" dxfId="61" priority="476" operator="equal">
      <formula>"Moderado"</formula>
    </cfRule>
    <cfRule type="cellIs" dxfId="60" priority="477" operator="equal">
      <formula>"Menor"</formula>
    </cfRule>
    <cfRule type="cellIs" dxfId="59" priority="478" operator="equal">
      <formula>"Leve"</formula>
    </cfRule>
  </conditionalFormatting>
  <conditionalFormatting sqref="K12">
    <cfRule type="cellIs" dxfId="58" priority="469" operator="equal">
      <formula>"Muy Alta"</formula>
    </cfRule>
    <cfRule type="cellIs" dxfId="57" priority="470" operator="equal">
      <formula>"Alta"</formula>
    </cfRule>
    <cfRule type="cellIs" dxfId="56" priority="471" operator="equal">
      <formula>"Media"</formula>
    </cfRule>
    <cfRule type="cellIs" dxfId="55" priority="472" operator="equal">
      <formula>"Baja"</formula>
    </cfRule>
    <cfRule type="cellIs" dxfId="54" priority="473" operator="equal">
      <formula>"Muy Baja"</formula>
    </cfRule>
  </conditionalFormatting>
  <conditionalFormatting sqref="L12">
    <cfRule type="cellIs" dxfId="53" priority="465" operator="equal">
      <formula>"Extremo"</formula>
    </cfRule>
    <cfRule type="cellIs" dxfId="52" priority="466" operator="equal">
      <formula>"Alto"</formula>
    </cfRule>
    <cfRule type="cellIs" dxfId="51" priority="467" operator="equal">
      <formula>"Moderado"</formula>
    </cfRule>
    <cfRule type="cellIs" dxfId="50" priority="468" operator="equal">
      <formula>"Bajo"</formula>
    </cfRule>
  </conditionalFormatting>
  <conditionalFormatting sqref="AS12">
    <cfRule type="containsText" dxfId="49" priority="462" operator="containsText" text="Alto">
      <formula>NOT(ISERROR(SEARCH("Alto",AS12)))</formula>
    </cfRule>
    <cfRule type="containsText" dxfId="48" priority="463" stopIfTrue="1" operator="containsText" text="Moderado">
      <formula>NOT(ISERROR(SEARCH("Moderado",AS12)))</formula>
    </cfRule>
    <cfRule type="containsText" dxfId="47" priority="464" operator="containsText" text="Extremo">
      <formula>NOT(ISERROR(SEARCH("Extremo",AS12)))</formula>
    </cfRule>
  </conditionalFormatting>
  <conditionalFormatting sqref="AN12">
    <cfRule type="cellIs" dxfId="46" priority="458" operator="equal">
      <formula>"Casi seguro"</formula>
    </cfRule>
    <cfRule type="cellIs" dxfId="45" priority="459" operator="equal">
      <formula>"Probable"</formula>
    </cfRule>
    <cfRule type="cellIs" dxfId="44" priority="460" operator="equal">
      <formula>"Posible"</formula>
    </cfRule>
    <cfRule type="cellIs" dxfId="43" priority="461" operator="equal">
      <formula>"Improbable"</formula>
    </cfRule>
  </conditionalFormatting>
  <conditionalFormatting sqref="AN12:AN16">
    <cfRule type="cellIs" dxfId="42" priority="457" operator="equal">
      <formula>"Rara vez"</formula>
    </cfRule>
  </conditionalFormatting>
  <conditionalFormatting sqref="AR12">
    <cfRule type="cellIs" dxfId="41" priority="452" operator="equal">
      <formula>"Catastrófico"</formula>
    </cfRule>
    <cfRule type="cellIs" dxfId="40" priority="453" operator="equal">
      <formula>"Mayor"</formula>
    </cfRule>
    <cfRule type="cellIs" dxfId="39" priority="454" operator="equal">
      <formula>"Moderado"</formula>
    </cfRule>
    <cfRule type="cellIs" dxfId="38" priority="455" operator="equal">
      <formula>"Menor"</formula>
    </cfRule>
    <cfRule type="cellIs" dxfId="37" priority="456" operator="equal">
      <formula>"Leve"</formula>
    </cfRule>
  </conditionalFormatting>
  <conditionalFormatting sqref="G17">
    <cfRule type="cellIs" dxfId="36" priority="34" operator="equal">
      <formula>"Casi seguro"</formula>
    </cfRule>
    <cfRule type="cellIs" dxfId="35" priority="35" operator="equal">
      <formula>"Probable"</formula>
    </cfRule>
    <cfRule type="cellIs" dxfId="34" priority="36" operator="equal">
      <formula>"Posible"</formula>
    </cfRule>
    <cfRule type="cellIs" dxfId="33" priority="37" operator="equal">
      <formula>"Improbable"</formula>
    </cfRule>
  </conditionalFormatting>
  <conditionalFormatting sqref="J17">
    <cfRule type="cellIs" dxfId="32" priority="29" operator="equal">
      <formula>"Catastrófico"</formula>
    </cfRule>
    <cfRule type="cellIs" dxfId="31" priority="30" operator="equal">
      <formula>"Mayor"</formula>
    </cfRule>
    <cfRule type="cellIs" dxfId="30" priority="31" operator="equal">
      <formula>"Moderado"</formula>
    </cfRule>
    <cfRule type="cellIs" dxfId="29" priority="32" operator="equal">
      <formula>"Menor"</formula>
    </cfRule>
    <cfRule type="cellIs" dxfId="28" priority="33" operator="equal">
      <formula>"Leve"</formula>
    </cfRule>
  </conditionalFormatting>
  <conditionalFormatting sqref="K17">
    <cfRule type="cellIs" dxfId="27" priority="24" operator="equal">
      <formula>"Muy Alta"</formula>
    </cfRule>
    <cfRule type="cellIs" dxfId="26" priority="25" operator="equal">
      <formula>"Alta"</formula>
    </cfRule>
    <cfRule type="cellIs" dxfId="25" priority="26" operator="equal">
      <formula>"Media"</formula>
    </cfRule>
    <cfRule type="cellIs" dxfId="24" priority="27" operator="equal">
      <formula>"Baja"</formula>
    </cfRule>
    <cfRule type="cellIs" dxfId="23" priority="28" operator="equal">
      <formula>"Muy Baja"</formula>
    </cfRule>
  </conditionalFormatting>
  <conditionalFormatting sqref="L17">
    <cfRule type="cellIs" dxfId="22" priority="20" operator="equal">
      <formula>"Extremo"</formula>
    </cfRule>
    <cfRule type="cellIs" dxfId="21" priority="21" operator="equal">
      <formula>"Alto"</formula>
    </cfRule>
    <cfRule type="cellIs" dxfId="20" priority="22" operator="equal">
      <formula>"Moderado"</formula>
    </cfRule>
    <cfRule type="cellIs" dxfId="19" priority="23" operator="equal">
      <formula>"Bajo"</formula>
    </cfRule>
  </conditionalFormatting>
  <conditionalFormatting sqref="H17">
    <cfRule type="cellIs" dxfId="18" priority="15" operator="equal">
      <formula>"Muy Alta"</formula>
    </cfRule>
    <cfRule type="cellIs" dxfId="17" priority="16" operator="equal">
      <formula>"Alta"</formula>
    </cfRule>
    <cfRule type="cellIs" dxfId="16" priority="17" operator="equal">
      <formula>"Media"</formula>
    </cfRule>
    <cfRule type="cellIs" dxfId="15" priority="18" operator="equal">
      <formula>"Baja"</formula>
    </cfRule>
    <cfRule type="cellIs" dxfId="14" priority="19" operator="equal">
      <formula>"Muy Baja"</formula>
    </cfRule>
  </conditionalFormatting>
  <conditionalFormatting sqref="G17:G21">
    <cfRule type="cellIs" dxfId="13" priority="14" operator="equal">
      <formula>"Rara vez"</formula>
    </cfRule>
  </conditionalFormatting>
  <conditionalFormatting sqref="AS17">
    <cfRule type="containsText" dxfId="12" priority="11" operator="containsText" text="Alto">
      <formula>NOT(ISERROR(SEARCH("Alto",AS17)))</formula>
    </cfRule>
    <cfRule type="containsText" dxfId="11" priority="12" stopIfTrue="1" operator="containsText" text="Moderado">
      <formula>NOT(ISERROR(SEARCH("Moderado",AS17)))</formula>
    </cfRule>
    <cfRule type="containsText" dxfId="10" priority="13" operator="containsText" text="Extremo">
      <formula>NOT(ISERROR(SEARCH("Extremo",AS17)))</formula>
    </cfRule>
  </conditionalFormatting>
  <conditionalFormatting sqref="AN17">
    <cfRule type="cellIs" dxfId="9" priority="7" operator="equal">
      <formula>"Casi seguro"</formula>
    </cfRule>
    <cfRule type="cellIs" dxfId="8" priority="8" operator="equal">
      <formula>"Probable"</formula>
    </cfRule>
    <cfRule type="cellIs" dxfId="7" priority="9" operator="equal">
      <formula>"Posible"</formula>
    </cfRule>
    <cfRule type="cellIs" dxfId="6" priority="10" operator="equal">
      <formula>"Improbable"</formula>
    </cfRule>
  </conditionalFormatting>
  <conditionalFormatting sqref="AN17:AN21">
    <cfRule type="cellIs" dxfId="5" priority="6" operator="equal">
      <formula>"Rara vez"</formula>
    </cfRule>
  </conditionalFormatting>
  <conditionalFormatting sqref="AR17">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dataValidations count="1">
    <dataValidation showInputMessage="1" showErrorMessage="1" sqref="AL7:AM7 AQ7 AL12:AM12 AQ12 AL17:AM17 AQ17"/>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[24]DESPLEGABLES!#REF!</xm:f>
          </x14:formula1>
          <xm:sqref>AT17 I17:I21 AZ17:AZ21</xm:sqref>
        </x14:dataValidation>
        <x14:dataValidation type="list" allowBlank="1" showInputMessage="1" showErrorMessage="1">
          <x14:formula1>
            <xm:f>[24]calificación_impacto_corrupción!#REF!</xm:f>
          </x14:formula1>
          <xm:sqref>AK17 AH17 AO17:AO21 AE17:AE21 O17:O21 Q17:Q21 S17:S21 U17:U21 W17:W21 Y17:Y21 AA17:AA21 F17:F21</xm:sqref>
        </x14:dataValidation>
        <x14:dataValidation type="list" allowBlank="1" showInputMessage="1" showErrorMessage="1">
          <x14:formula1>
            <xm:f>[23]DESPLEGABLES!#REF!</xm:f>
          </x14:formula1>
          <xm:sqref>I7:I11 AZ7:AZ11 AT7</xm:sqref>
        </x14:dataValidation>
        <x14:dataValidation type="list" allowBlank="1" showInputMessage="1" showErrorMessage="1">
          <x14:formula1>
            <xm:f>[23]calificación_impacto_corrupción!#REF!</xm:f>
          </x14:formula1>
          <xm:sqref>AH7 F7:F11 AA7:AA11 Y7:Y11 W7:W11 U7:U11 S7:S11 Q7:Q11 O7:O11 AE7:AE11 AK7 AO7:AO11</xm:sqref>
        </x14:dataValidation>
        <x14:dataValidation type="list" allowBlank="1" showInputMessage="1" showErrorMessage="1">
          <x14:formula1>
            <xm:f>[28]calificación_impacto_corrupción!#REF!</xm:f>
          </x14:formula1>
          <xm:sqref>AH12 AK12 AO12:AO16 AE12:AE16 O12:O16 Q12:Q16 S12:S16 U12:U16 W12:W16 Y12:Y16 AA12:AA16 F12:F16</xm:sqref>
        </x14:dataValidation>
        <x14:dataValidation type="list" allowBlank="1" showInputMessage="1" showErrorMessage="1">
          <x14:formula1>
            <xm:f>[28]DESPLEGABLES!#REF!</xm:f>
          </x14:formula1>
          <xm:sqref>AZ14:AZ16 AT12 I12:I16</xm:sqref>
        </x14:dataValidation>
        <x14:dataValidation type="list" allowBlank="1" showInputMessage="1" showErrorMessage="1">
          <x14:formula1>
            <xm:f>[21]DESPLEGABLES!#REF!</xm:f>
          </x14:formula1>
          <xm:sqref>AZ12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Matriz_riesgo_gesti_seguridad23</vt:lpstr>
      <vt:lpstr>consolidado riesgo corrupció23 </vt:lpstr>
      <vt:lpstr>riesgos_gestion_eliminados</vt:lpstr>
      <vt:lpstr>riesgo_corrupcion_eliminados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Maida Pajaro</cp:lastModifiedBy>
  <dcterms:created xsi:type="dcterms:W3CDTF">2022-02-06T22:53:56Z</dcterms:created>
  <dcterms:modified xsi:type="dcterms:W3CDTF">2023-01-31T18:38:06Z</dcterms:modified>
</cp:coreProperties>
</file>